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809"/>
  <workbookPr date1904="1" codeName="ThisWorkbook"/>
  <mc:AlternateContent xmlns:mc="http://schemas.openxmlformats.org/markup-compatibility/2006">
    <mc:Choice Requires="x15">
      <x15ac:absPath xmlns:x15ac="http://schemas.microsoft.com/office/spreadsheetml/2010/11/ac" url="/Users/kateeverett/Documents/Finance/DOCUMENTS/PURCHASING TAB /"/>
    </mc:Choice>
  </mc:AlternateContent>
  <bookViews>
    <workbookView xWindow="20680" yWindow="3560" windowWidth="22260" windowHeight="12980" tabRatio="720"/>
  </bookViews>
  <sheets>
    <sheet name="Index" sheetId="6" r:id="rId1"/>
    <sheet name="Rate Doc Requirements" sheetId="7" r:id="rId2"/>
    <sheet name="Ex 1 Rate Calc " sheetId="1" r:id="rId3"/>
    <sheet name="Ex 2 Salary Sch #1" sheetId="2" r:id="rId4"/>
    <sheet name="Ex 3 Salary Sch #2" sheetId="5" r:id="rId5"/>
    <sheet name="Ex 4 Direct Cost Sch" sheetId="3" r:id="rId6"/>
    <sheet name="Ex 5 Equip Depr Sch" sheetId="4" r:id="rId7"/>
    <sheet name="Ex 6 Revenue Sch" sheetId="8" r:id="rId8"/>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7" i="8" l="1"/>
  <c r="D8" i="8"/>
  <c r="D9" i="8"/>
  <c r="C9" i="8"/>
  <c r="K8" i="8"/>
  <c r="K9" i="8"/>
  <c r="H8" i="8"/>
  <c r="H9" i="8"/>
  <c r="I9" i="8"/>
  <c r="I7" i="8"/>
  <c r="I6" i="8"/>
  <c r="F142" i="1"/>
  <c r="F144" i="1"/>
  <c r="F128" i="1"/>
  <c r="F116" i="1"/>
  <c r="F83" i="1"/>
  <c r="F82" i="1"/>
  <c r="F92" i="1"/>
  <c r="F95" i="1"/>
  <c r="G10" i="4"/>
  <c r="L10" i="4"/>
  <c r="G11" i="4"/>
  <c r="L11" i="4"/>
  <c r="L13" i="4"/>
  <c r="L23" i="4"/>
  <c r="L24" i="4"/>
  <c r="L25" i="4"/>
  <c r="L26" i="4"/>
  <c r="L27" i="4"/>
  <c r="F17" i="1"/>
  <c r="L34" i="4"/>
  <c r="K42" i="3"/>
  <c r="F16" i="1"/>
  <c r="K37" i="3"/>
  <c r="K27" i="3"/>
  <c r="K17" i="3"/>
  <c r="K8" i="3"/>
  <c r="K44" i="3"/>
  <c r="I38" i="3"/>
  <c r="I39" i="3"/>
  <c r="I40" i="3"/>
  <c r="I41" i="3"/>
  <c r="I42" i="3"/>
  <c r="I28" i="3"/>
  <c r="I29" i="3"/>
  <c r="I30" i="3"/>
  <c r="I31" i="3"/>
  <c r="I32" i="3"/>
  <c r="I33" i="3"/>
  <c r="I34" i="3"/>
  <c r="I35" i="3"/>
  <c r="I36" i="3"/>
  <c r="I37" i="3"/>
  <c r="I18" i="3"/>
  <c r="I19" i="3"/>
  <c r="I20" i="3"/>
  <c r="I21" i="3"/>
  <c r="I22" i="3"/>
  <c r="I23" i="3"/>
  <c r="I24" i="3"/>
  <c r="I25" i="3"/>
  <c r="I26" i="3"/>
  <c r="I27" i="3"/>
  <c r="I9" i="3"/>
  <c r="I10" i="3"/>
  <c r="I11" i="3"/>
  <c r="I12" i="3"/>
  <c r="I13" i="3"/>
  <c r="I14" i="3"/>
  <c r="I15" i="3"/>
  <c r="I17" i="3"/>
  <c r="I5" i="3"/>
  <c r="I6" i="3"/>
  <c r="I7" i="3"/>
  <c r="I8" i="3"/>
  <c r="I44" i="3"/>
  <c r="H42" i="3"/>
  <c r="H37" i="3"/>
  <c r="H27" i="3"/>
  <c r="H17" i="3"/>
  <c r="H8" i="3"/>
  <c r="H44" i="3"/>
  <c r="D42" i="3"/>
  <c r="D37" i="3"/>
  <c r="D27" i="3"/>
  <c r="D17" i="3"/>
  <c r="D8" i="3"/>
  <c r="D44" i="3"/>
  <c r="C42" i="3"/>
  <c r="C37" i="3"/>
  <c r="C27" i="3"/>
  <c r="C17" i="3"/>
  <c r="C8" i="3"/>
  <c r="C44" i="3"/>
  <c r="F15" i="1"/>
  <c r="F14" i="1"/>
  <c r="F77" i="1"/>
  <c r="F78" i="1"/>
  <c r="F13" i="1"/>
  <c r="F12" i="1"/>
  <c r="G27" i="3"/>
  <c r="F27" i="3"/>
  <c r="E27" i="3"/>
  <c r="G17" i="3"/>
  <c r="F17" i="3"/>
  <c r="E17" i="3"/>
  <c r="G8" i="3"/>
  <c r="F8" i="3"/>
  <c r="E8" i="3"/>
  <c r="I16" i="3"/>
  <c r="C12" i="5"/>
  <c r="D12" i="5"/>
  <c r="E12" i="5"/>
  <c r="E7" i="5"/>
  <c r="E8" i="5"/>
  <c r="E9" i="5"/>
  <c r="G12" i="5"/>
  <c r="C13" i="5"/>
  <c r="D13" i="5"/>
  <c r="E13" i="5"/>
  <c r="F7" i="5"/>
  <c r="F8" i="5"/>
  <c r="F9" i="5"/>
  <c r="G13" i="5"/>
  <c r="C14" i="5"/>
  <c r="D14" i="5"/>
  <c r="E14" i="5"/>
  <c r="G7" i="5"/>
  <c r="G8" i="5"/>
  <c r="G9" i="5"/>
  <c r="G14" i="5"/>
  <c r="G15" i="5"/>
  <c r="H9" i="5"/>
  <c r="G17" i="5"/>
  <c r="H23" i="4"/>
  <c r="I23" i="4"/>
  <c r="J23" i="4"/>
  <c r="K23" i="4"/>
  <c r="S23" i="4"/>
  <c r="I24" i="4"/>
  <c r="J24" i="4"/>
  <c r="K24" i="4"/>
  <c r="M24" i="4"/>
  <c r="S24" i="4"/>
  <c r="I25" i="4"/>
  <c r="J25" i="4"/>
  <c r="K25" i="4"/>
  <c r="M25" i="4"/>
  <c r="S25" i="4"/>
  <c r="K26" i="4"/>
  <c r="M26" i="4"/>
  <c r="N26" i="4"/>
  <c r="O26" i="4"/>
  <c r="S26" i="4"/>
  <c r="S27" i="4"/>
  <c r="T26" i="4"/>
  <c r="T25" i="4"/>
  <c r="T24" i="4"/>
  <c r="T23" i="4"/>
  <c r="M10" i="4"/>
  <c r="N10" i="4"/>
  <c r="O10" i="4"/>
  <c r="P10" i="4"/>
  <c r="Q10" i="4"/>
  <c r="S10" i="4"/>
  <c r="M11" i="4"/>
  <c r="N11" i="4"/>
  <c r="O11" i="4"/>
  <c r="P11" i="4"/>
  <c r="Q11" i="4"/>
  <c r="S11" i="4"/>
  <c r="S13" i="4"/>
  <c r="Q13" i="4"/>
  <c r="Q14" i="4"/>
  <c r="P13" i="4"/>
  <c r="P14" i="4"/>
  <c r="O13" i="4"/>
  <c r="O14" i="4"/>
  <c r="N13" i="4"/>
  <c r="M13" i="4"/>
  <c r="N14" i="4"/>
  <c r="L15" i="4"/>
  <c r="M15" i="4"/>
  <c r="N15" i="4"/>
  <c r="M14" i="4"/>
  <c r="L14" i="4"/>
  <c r="G13" i="4"/>
  <c r="J27" i="4"/>
  <c r="J28" i="4"/>
  <c r="K27" i="4"/>
  <c r="K28" i="4"/>
  <c r="H27" i="4"/>
  <c r="H29" i="4"/>
  <c r="H28" i="4"/>
  <c r="D27" i="4"/>
  <c r="O27" i="4"/>
  <c r="O28" i="4"/>
  <c r="N27" i="4"/>
  <c r="N28" i="4"/>
  <c r="G26" i="4"/>
  <c r="G25" i="4"/>
  <c r="G24" i="4"/>
  <c r="G23" i="4"/>
  <c r="O15" i="4"/>
  <c r="P15" i="4"/>
  <c r="Q15" i="4"/>
  <c r="I27" i="4"/>
  <c r="I28" i="4"/>
  <c r="AH25" i="4"/>
  <c r="M27" i="4"/>
  <c r="M28" i="4"/>
  <c r="AH24" i="4"/>
  <c r="AH26" i="4"/>
  <c r="L28" i="4"/>
  <c r="AH23" i="4"/>
  <c r="I29" i="4"/>
  <c r="J29" i="4"/>
  <c r="K29" i="4"/>
  <c r="L29" i="4"/>
  <c r="M29" i="4"/>
  <c r="N29" i="4"/>
  <c r="O29" i="4"/>
  <c r="D13" i="4"/>
  <c r="T10" i="4"/>
  <c r="T11" i="4"/>
  <c r="F12" i="5"/>
  <c r="F13" i="5"/>
  <c r="F14" i="5"/>
  <c r="F15" i="5"/>
  <c r="L15" i="2"/>
  <c r="N15" i="2"/>
  <c r="O15" i="2"/>
  <c r="J15" i="2"/>
  <c r="L14" i="2"/>
  <c r="N14" i="2"/>
  <c r="O14" i="2"/>
  <c r="J14" i="2"/>
  <c r="L13" i="2"/>
  <c r="N13" i="2"/>
  <c r="O13" i="2"/>
  <c r="J13" i="2"/>
  <c r="L12" i="2"/>
  <c r="N12" i="2"/>
  <c r="O12" i="2"/>
  <c r="J12" i="2"/>
  <c r="L11" i="2"/>
  <c r="N11" i="2"/>
  <c r="J11" i="2"/>
  <c r="L8" i="2"/>
  <c r="N8" i="2"/>
  <c r="O8" i="2"/>
  <c r="J8" i="2"/>
  <c r="L7" i="2"/>
  <c r="N7" i="2"/>
  <c r="O7" i="2"/>
  <c r="J7" i="2"/>
  <c r="L6" i="2"/>
  <c r="N6" i="2"/>
  <c r="O6" i="2"/>
  <c r="J6" i="2"/>
  <c r="L5" i="2"/>
  <c r="N5" i="2"/>
  <c r="J5" i="2"/>
  <c r="N9" i="2"/>
  <c r="O9" i="2"/>
  <c r="O5" i="2"/>
  <c r="O11" i="2"/>
  <c r="N16" i="2"/>
  <c r="F36" i="1"/>
  <c r="F39" i="1"/>
  <c r="F40" i="1"/>
  <c r="F41" i="1"/>
  <c r="F42" i="1"/>
  <c r="F49" i="1"/>
  <c r="O16" i="2"/>
  <c r="N17" i="2"/>
  <c r="O17" i="2"/>
  <c r="O18" i="2"/>
  <c r="I8" i="8"/>
  <c r="F20" i="1"/>
  <c r="F48" i="1"/>
  <c r="G48" i="1"/>
  <c r="F43" i="1"/>
  <c r="F96" i="1"/>
  <c r="H92" i="1"/>
  <c r="F63" i="1"/>
  <c r="G63" i="1"/>
  <c r="F115" i="1"/>
  <c r="F118" i="1"/>
  <c r="F145" i="1"/>
  <c r="F146" i="1"/>
</calcChain>
</file>

<file path=xl/sharedStrings.xml><?xml version="1.0" encoding="utf-8"?>
<sst xmlns="http://schemas.openxmlformats.org/spreadsheetml/2006/main" count="409" uniqueCount="311">
  <si>
    <t>The following equation is used to calculate a service center rate:</t>
  </si>
  <si>
    <t xml:space="preserve"> </t>
  </si>
  <si>
    <t>Rate=</t>
  </si>
  <si>
    <t>Budgeted Expenses (less Svc Ctr subsidy) +/- Prior Year Surplus/Deficit</t>
  </si>
  <si>
    <t xml:space="preserve">Budgeted Level of Activity </t>
  </si>
  <si>
    <t>The following are examples of three commonly used activity base for cost allocation and/or</t>
  </si>
  <si>
    <t xml:space="preserve">Budgeted Expenses: </t>
  </si>
  <si>
    <t>Salaries &amp; wages</t>
  </si>
  <si>
    <t>Fringe benefits</t>
  </si>
  <si>
    <t>Supplies</t>
  </si>
  <si>
    <t>Equipment depreciation</t>
  </si>
  <si>
    <t>Repairs and maintenance</t>
  </si>
  <si>
    <t>Training and development</t>
  </si>
  <si>
    <t>Prior year (surplus)/deficit</t>
  </si>
  <si>
    <t>Total budgeted expenses</t>
  </si>
  <si>
    <t>√</t>
  </si>
  <si>
    <t>1.</t>
  </si>
  <si>
    <t xml:space="preserve">Consumption Base  </t>
  </si>
  <si>
    <t>A consumption base is used when expenses are directly related to the quantity or costs of inputs</t>
  </si>
  <si>
    <t>(labor, material, or equipment) consumed in the process of providing a good or service.</t>
  </si>
  <si>
    <t xml:space="preserve">For example, assume that the number of labor hours correlates with the cost of products produced. </t>
  </si>
  <si>
    <t>Total hours paid per year per employee:</t>
  </si>
  <si>
    <t xml:space="preserve">37.5 hours per day x 52 weeks </t>
  </si>
  <si>
    <t>Less: Non-billable hours</t>
  </si>
  <si>
    <t>Vacation time (15 days x 7.5 hours)</t>
  </si>
  <si>
    <t>College holidays (7 days x 7.5 hours)</t>
  </si>
  <si>
    <t>Personal time (11 days x 7.5 hours)</t>
  </si>
  <si>
    <t>Down-time (261-15-7-11)days x 1 hour</t>
  </si>
  <si>
    <t>#</t>
  </si>
  <si>
    <t>Total billable hours</t>
  </si>
  <si>
    <t>billable hours/employee</t>
  </si>
  <si>
    <t>Total number of billable hours for the service:</t>
  </si>
  <si>
    <t xml:space="preserve">Assume two employees (1,475 x 2) </t>
  </si>
  <si>
    <t>billable hours/year</t>
  </si>
  <si>
    <t>Total budgeted expenses (see √ above)</t>
  </si>
  <si>
    <t>Total budgeted level of activity</t>
  </si>
  <si>
    <t xml:space="preserve">#  Down-time is non-billable time, e.g., break time, equipment repair time, or time spent on paper work. </t>
  </si>
  <si>
    <t xml:space="preserve">     The number of working days per year is 261 days.</t>
  </si>
  <si>
    <t>2.</t>
  </si>
  <si>
    <t>Output Base</t>
  </si>
  <si>
    <t>An output base is used when costs are directly related to the amount of goods and services produced.</t>
  </si>
  <si>
    <t>Calculate the cost per drum:</t>
  </si>
  <si>
    <t>Rate:</t>
  </si>
  <si>
    <t>Total budgeted expenses (see√ above)</t>
  </si>
  <si>
    <t>3.</t>
  </si>
  <si>
    <t>Cost of Goods Base</t>
  </si>
  <si>
    <t xml:space="preserve">Cost of goods base is applicable to service center which are product rather than service oriented. </t>
  </si>
  <si>
    <t>Since the total direct cost is known for each product, a percentage is computed and applied to these</t>
  </si>
  <si>
    <t>direct costs to determine the price of the product. This price will be sufficient to recover both the direct</t>
  </si>
  <si>
    <t>and operating (indirect) costs incurred to produce the product.</t>
  </si>
  <si>
    <t>For example, assume that the cost of chemicals is the direct cost of this service center.</t>
  </si>
  <si>
    <t>i) Calculate the estimated total cost of chemicals:</t>
  </si>
  <si>
    <t>Total cost of goods</t>
  </si>
  <si>
    <t>ii) Calculate the estimated total operating costs:</t>
  </si>
  <si>
    <t>Total operating expenses</t>
  </si>
  <si>
    <t>Markup =</t>
  </si>
  <si>
    <t>= 0.42</t>
  </si>
  <si>
    <t xml:space="preserve">Thus, if the chemical cost of a job is $100, the charge-out rate to recover cost of goods </t>
  </si>
  <si>
    <t>and operating expenses is:</t>
  </si>
  <si>
    <t xml:space="preserve">Rate =  </t>
  </si>
  <si>
    <t>Cost of goods x (1 + Markup) = $100 x 1.42</t>
  </si>
  <si>
    <t>= $142</t>
  </si>
  <si>
    <t>Rate =</t>
  </si>
  <si>
    <t>Budgeted expenses</t>
  </si>
  <si>
    <t>Budgeted level of activity</t>
  </si>
  <si>
    <t>Unsubsidized rate</t>
  </si>
  <si>
    <t>Budgeted expenses - service center subsidy</t>
  </si>
  <si>
    <t>Service center subsidized rate</t>
  </si>
  <si>
    <t>User Subsidy</t>
  </si>
  <si>
    <t>Assume that Dept. B subsidizes $15,000 for users from Dept. B only and the estimated B usage is 200 units.</t>
  </si>
  <si>
    <t>Use the unsubsidized rate of $100/unit (refer to Example 1 above) to calculate the B rate:</t>
  </si>
  <si>
    <t>B Rate=</t>
  </si>
  <si>
    <t>Budgeted expenses for B units - B subsidy</t>
  </si>
  <si>
    <t>Estimated B usage</t>
  </si>
  <si>
    <t>B rate</t>
  </si>
  <si>
    <t xml:space="preserve">Note: </t>
  </si>
  <si>
    <t>from salary sch</t>
  </si>
  <si>
    <t>from direct cost sch</t>
  </si>
  <si>
    <t>from equipment depr sch</t>
  </si>
  <si>
    <t>Activity</t>
  </si>
  <si>
    <t>NC Code</t>
  </si>
  <si>
    <t>NAME</t>
  </si>
  <si>
    <t>Position #</t>
  </si>
  <si>
    <t>FY15 FTE</t>
  </si>
  <si>
    <t>FY15 Total Salary</t>
  </si>
  <si>
    <t>Distr. %</t>
  </si>
  <si>
    <t>FY16 FTE</t>
  </si>
  <si>
    <t>FY16 Total Salary</t>
  </si>
  <si>
    <t>3% raise</t>
  </si>
  <si>
    <t>2% raise</t>
  </si>
  <si>
    <t>Fringe</t>
  </si>
  <si>
    <t>Svc Ctr %</t>
  </si>
  <si>
    <t xml:space="preserve">Totals </t>
  </si>
  <si>
    <t>Total</t>
  </si>
  <si>
    <t>Fringe rate</t>
  </si>
  <si>
    <t>Non-billable percent</t>
  </si>
  <si>
    <t>Personal Days</t>
  </si>
  <si>
    <t>Net Hours</t>
  </si>
  <si>
    <t>Non-billable time</t>
  </si>
  <si>
    <t>Billable Time</t>
  </si>
  <si>
    <t>Gross Comp Expense</t>
  </si>
  <si>
    <t>Total Compensation</t>
  </si>
  <si>
    <t>Employee 1</t>
  </si>
  <si>
    <t>Employee 2</t>
  </si>
  <si>
    <t>Employee 3</t>
  </si>
  <si>
    <t>Total Hours</t>
  </si>
  <si>
    <t>Comments</t>
  </si>
  <si>
    <t>Hourly Salary</t>
  </si>
  <si>
    <t>Hourly Fringe</t>
  </si>
  <si>
    <t>Hourly Total</t>
  </si>
  <si>
    <t>52 weeks x 40 hours</t>
  </si>
  <si>
    <t>http://www.dartmouth.edu/~hrs/news/holidays.html</t>
  </si>
  <si>
    <t>Includes winter break</t>
  </si>
  <si>
    <t>http://www.dartmouth.edu/~hrs/pdfs/Paid_Time_Off_Hourly.pdf</t>
  </si>
  <si>
    <t>http://www.dartmouth.edu/~hrs/pdfs/paid_time_off_salaried.pdf</t>
  </si>
  <si>
    <t xml:space="preserve">   Holidays</t>
  </si>
  <si>
    <t xml:space="preserve">   Vacation</t>
  </si>
  <si>
    <t>Net hours x Non billable percent</t>
  </si>
  <si>
    <t>Total Billable Time</t>
  </si>
  <si>
    <t>Recoverable Comp Expense</t>
  </si>
  <si>
    <t>http://www.dartmouth.edu/~osp/resources/profile-fbrates.html</t>
  </si>
  <si>
    <t>Fringe Rate Source:</t>
  </si>
  <si>
    <t>Employee 4</t>
  </si>
  <si>
    <t>Svc Ctr FY15 Salary</t>
  </si>
  <si>
    <t>Svc Ctr FY16 Salary</t>
  </si>
  <si>
    <t>Actuals</t>
  </si>
  <si>
    <t>Budget</t>
  </si>
  <si>
    <t>Employee 5</t>
  </si>
  <si>
    <t>Employee 6</t>
  </si>
  <si>
    <t>Employee 7</t>
  </si>
  <si>
    <t>Employee 8</t>
  </si>
  <si>
    <t>Employee 9</t>
  </si>
  <si>
    <t>Position Title</t>
  </si>
  <si>
    <t>Faculty</t>
  </si>
  <si>
    <t>Exempt Staff</t>
  </si>
  <si>
    <t>Non Exempt Staff</t>
  </si>
  <si>
    <t>Total Salary and Fringe</t>
  </si>
  <si>
    <t>Assets over 25k</t>
  </si>
  <si>
    <t>FY</t>
  </si>
  <si>
    <t>Description</t>
  </si>
  <si>
    <t>Asset #</t>
  </si>
  <si>
    <t>Cost</t>
  </si>
  <si>
    <t>FY16</t>
  </si>
  <si>
    <t>FY17</t>
  </si>
  <si>
    <t>FY18</t>
  </si>
  <si>
    <t>FY19</t>
  </si>
  <si>
    <t>FY20</t>
  </si>
  <si>
    <t>FY21</t>
  </si>
  <si>
    <t>Total Depr</t>
  </si>
  <si>
    <t>Balance</t>
  </si>
  <si>
    <t>Monthly Depreciation</t>
  </si>
  <si>
    <t>Accumulated Depreciation</t>
  </si>
  <si>
    <t>DB</t>
  </si>
  <si>
    <t>CR</t>
  </si>
  <si>
    <t>Service Center Name</t>
  </si>
  <si>
    <t>Service Center Org</t>
  </si>
  <si>
    <t>Service Center Operating Funding</t>
  </si>
  <si>
    <t>Service Center Depreciation Reserve Funding</t>
  </si>
  <si>
    <t>In Service Date</t>
  </si>
  <si>
    <t>Life/Years</t>
  </si>
  <si>
    <t>XX.XXX.XXXXXX.XXXXXX.XXXX.8703</t>
  </si>
  <si>
    <t xml:space="preserve">Service Center Operating </t>
  </si>
  <si>
    <t xml:space="preserve">Service Center Depreciation Reserve </t>
  </si>
  <si>
    <t>Date in Service</t>
  </si>
  <si>
    <t>Comment</t>
  </si>
  <si>
    <t>FY11</t>
  </si>
  <si>
    <t>FY12</t>
  </si>
  <si>
    <t>FY14</t>
  </si>
  <si>
    <t>Debit</t>
  </si>
  <si>
    <t>Credit</t>
  </si>
  <si>
    <t>FY15</t>
  </si>
  <si>
    <t>Assets Under 25k</t>
  </si>
  <si>
    <t>FY13</t>
  </si>
  <si>
    <t xml:space="preserve">Source: Financial Reporting / Fixed Asset </t>
  </si>
  <si>
    <t>20.XXXXXX.441952.0000.8701</t>
  </si>
  <si>
    <t>Write off</t>
  </si>
  <si>
    <t>XX.XXX.XXXXXX.XXXXXX.0000.1714</t>
  </si>
  <si>
    <t>Fringe Rate</t>
  </si>
  <si>
    <t>Recovery rate (Total Compensation / Total Billable Time)</t>
  </si>
  <si>
    <t>FY YE Total</t>
  </si>
  <si>
    <t>FY15 Budget</t>
  </si>
  <si>
    <t>FY15 Actuals thru Q2</t>
  </si>
  <si>
    <t>Encumbrance</t>
  </si>
  <si>
    <t>Budget Balance Available</t>
  </si>
  <si>
    <t>Projected YE Total FY15</t>
  </si>
  <si>
    <r>
      <rPr>
        <b/>
        <sz val="8"/>
        <rFont val="Tahoma"/>
        <family val="2"/>
      </rPr>
      <t xml:space="preserve">Over/Under </t>
    </r>
    <r>
      <rPr>
        <b/>
        <sz val="8"/>
        <color indexed="8"/>
        <rFont val="Tahoma"/>
        <family val="2"/>
      </rPr>
      <t>Budget</t>
    </r>
  </si>
  <si>
    <t>FY16 Budget</t>
  </si>
  <si>
    <t>Natclass</t>
  </si>
  <si>
    <t>7034-EQUIP UNDER 5000 Computer Hardware</t>
  </si>
  <si>
    <t>7035-EQUIP UNDER 5000 Laboratory</t>
  </si>
  <si>
    <t>Need to buy new hoods in Q3</t>
  </si>
  <si>
    <t>7039-EQUIP UNDER 5000 Specialized</t>
  </si>
  <si>
    <t>Spent over budget on casters/wheels for carts</t>
  </si>
  <si>
    <t>7266-MAINT EQUIP Laboratory</t>
  </si>
  <si>
    <t>7272-MAINT EQUIP Specialized</t>
  </si>
  <si>
    <t>Spent over budget on pump for autoclave</t>
  </si>
  <si>
    <t>7285-MAINT OTHER Vehicles</t>
  </si>
  <si>
    <t>7318-MAINT CONT EQUIP Office</t>
  </si>
  <si>
    <t>Cage Card Printer Service Contract - ID Tech</t>
  </si>
  <si>
    <t>7319-MAINT CONT EQUIP Specialized</t>
  </si>
  <si>
    <t>Edstrom and LBR agreements</t>
  </si>
  <si>
    <t>7331-MAINT CONT OTHER Computer Software</t>
  </si>
  <si>
    <t>One time charge - Topaz fees, 50/50 with IACUC</t>
  </si>
  <si>
    <t>7471-SUPPLIES LAB Chemical Gases</t>
  </si>
  <si>
    <t>7473-SUPPLIES LAB Disposables</t>
  </si>
  <si>
    <t>7474-SUPPLIES LAB Drugs</t>
  </si>
  <si>
    <t>7477-SUPPLIES LAB Non Disposables</t>
  </si>
  <si>
    <t>7502-SUPPLIES Cleaning</t>
  </si>
  <si>
    <t>7503-SUPPLIES Food and Beverage</t>
  </si>
  <si>
    <t>7511-SUPPLIES Office</t>
  </si>
  <si>
    <t>7515-SUPPLIES Gasoline</t>
  </si>
  <si>
    <t>7516-SUPPLIES Uniforms or Clothing</t>
  </si>
  <si>
    <t>Shoe Reimbursements for Floor Staff, New Scrubs</t>
  </si>
  <si>
    <t>7682-POSTAGE FRGHT SHIP Freight</t>
  </si>
  <si>
    <t>Most of this cost is recovered by billing labs</t>
  </si>
  <si>
    <t>7769-PUR SRVCS OTHR Laboratory Analysis</t>
  </si>
  <si>
    <t>7774-PUR SRVCS OTHR Moving and Delivery</t>
  </si>
  <si>
    <t>7784-PUR SRVCS OTHR Software Development</t>
  </si>
  <si>
    <t>7789-PUR SRVCS OTHR Other Services</t>
  </si>
  <si>
    <t>Pest Control, around $600/mo</t>
  </si>
  <si>
    <t>7791-PUR SRVCS OTHR Pmts Other Institns</t>
  </si>
  <si>
    <t>7819-SERVICE CTR Laboratory Analysis</t>
  </si>
  <si>
    <t>7822-SERVICE CTR Printing</t>
  </si>
  <si>
    <t>7823-SERVICE CTR Repair Shops</t>
  </si>
  <si>
    <t>7869-INT DEPT Services</t>
  </si>
  <si>
    <t>CO2 charges, around $300/mo</t>
  </si>
  <si>
    <t>7879-INT DEPT Maintenance Contracts</t>
  </si>
  <si>
    <t>8015-INTERNAL FOM DIST Trades Labor</t>
  </si>
  <si>
    <t>8022-INTERNAL FOM DIST Trucking</t>
  </si>
  <si>
    <t>8039-FACILITY MAINT Materials Trades</t>
  </si>
  <si>
    <t>8071-WASTE REMOVAL Hazardous</t>
  </si>
  <si>
    <t>1/3 of Stericycle cost now paid on Program</t>
  </si>
  <si>
    <t>Non Payroll EXPENSES Total</t>
  </si>
  <si>
    <t>Equipment under 5k</t>
  </si>
  <si>
    <t xml:space="preserve">FY15 YE Projections and FY16 Budget </t>
  </si>
  <si>
    <t>Subtotal Equipment under 25k</t>
  </si>
  <si>
    <t>Subtotal Maint</t>
  </si>
  <si>
    <t>Subtotal Supplies</t>
  </si>
  <si>
    <t>Subtotal Purchased Services</t>
  </si>
  <si>
    <t>Subtotal Utilities and Custodial</t>
  </si>
  <si>
    <t>Utilities and Custodial</t>
  </si>
  <si>
    <t>Purchased Services</t>
  </si>
  <si>
    <t>To Rate Calculation Worksheet</t>
  </si>
  <si>
    <t>xxxxxx</t>
  </si>
  <si>
    <t>Equipment 1</t>
  </si>
  <si>
    <t>Equipment 2</t>
  </si>
  <si>
    <t>Equipment 3</t>
  </si>
  <si>
    <t>Equipment 4</t>
  </si>
  <si>
    <t>Equipment 5</t>
  </si>
  <si>
    <t>Equipment 6</t>
  </si>
  <si>
    <t>per hour</t>
  </si>
  <si>
    <t>per drum</t>
  </si>
  <si>
    <t>Supplies/Chemicals</t>
  </si>
  <si>
    <t xml:space="preserve">The following are examples for calculating rates where there is 1. no subsidy, 2. a service center subsidy, or </t>
  </si>
  <si>
    <t>a 3. a user subsidy.</t>
  </si>
  <si>
    <t>No Subsidy - Output Base</t>
  </si>
  <si>
    <t>Service Center Subsidy - Output Base</t>
  </si>
  <si>
    <t>per unit</t>
  </si>
  <si>
    <t>= (200 units x $141.89)-$15,000</t>
  </si>
  <si>
    <t>Other unsubsidized users will be charged $141.89 per unit.</t>
  </si>
  <si>
    <t>Dept B Chart String -  users</t>
  </si>
  <si>
    <t>Dept B Chart String - for subsidy</t>
  </si>
  <si>
    <t>= 709,459 - 50,000</t>
  </si>
  <si>
    <t>Budgeted Units of Production</t>
  </si>
  <si>
    <t>Total budgeted cost of goods</t>
  </si>
  <si>
    <t>Activity Base Examples</t>
  </si>
  <si>
    <t>A.</t>
  </si>
  <si>
    <t>B.</t>
  </si>
  <si>
    <t>C.</t>
  </si>
  <si>
    <t>Ex 2 Salary Sch #1</t>
  </si>
  <si>
    <t>Example: Salaries - Rate Calculation</t>
  </si>
  <si>
    <t>Ex 3 Salary Sch #2</t>
  </si>
  <si>
    <t>Ex 4 Direct Cost Sch</t>
  </si>
  <si>
    <t>Example: Depreciation - Rate Calculation</t>
  </si>
  <si>
    <t>Ex 5 Equip Depr Sch</t>
  </si>
  <si>
    <t>Index</t>
  </si>
  <si>
    <t>For all equipment owned or used by the service center; equipment type, date equipment placed in service, acquisition cost, annual and accumulated depreciation, acquisition date, useful life.</t>
  </si>
  <si>
    <r>
      <rPr>
        <b/>
        <sz val="8"/>
        <rFont val="Tahoma"/>
        <family val="2"/>
      </rPr>
      <t xml:space="preserve">Over/Under </t>
    </r>
    <r>
      <rPr>
        <b/>
        <sz val="8"/>
        <color indexed="8"/>
        <rFont val="Tahoma"/>
        <family val="2"/>
      </rPr>
      <t>Budget</t>
    </r>
  </si>
  <si>
    <t>4658-OTHR INC Refunds</t>
  </si>
  <si>
    <t>4663-OTHR INC Service Fees</t>
  </si>
  <si>
    <t>4824-SERVICE CTR Research Animals Fee</t>
  </si>
  <si>
    <t>REVENUE Total</t>
  </si>
  <si>
    <t xml:space="preserve">Based on Fee Schedule 1 - Calc  &gt; Fee Schedule Example </t>
  </si>
  <si>
    <t>Ex 6 Revenue Sch</t>
  </si>
  <si>
    <t xml:space="preserve">Budgeted Revenue </t>
  </si>
  <si>
    <t>Budgeted revenues based on the proposed rate(s) and the volume of activity for each type of product or service.  This must include documentation of assumptions and method for determining the level of activity used to compute the rate(s).</t>
  </si>
  <si>
    <t>The position title and percentage of effort for all personnel whose salaries and benefits are included in the rate(s). For confidentiality, only the aggregate of these salaries and benefits are included in the rate documentation. Documentation of how the aggregate was derived must be made available for rate review and maintained by the service centers.</t>
  </si>
  <si>
    <t>Ex 1 Rate Calc</t>
  </si>
  <si>
    <t xml:space="preserve">Assume that the Provost subsidizes $50,000 of service center A's operating expenses: </t>
  </si>
  <si>
    <t>The subsidized rate is charged to all internal users.</t>
  </si>
  <si>
    <t>Rate Calculation Examples</t>
  </si>
  <si>
    <t>the total budgeted expenses are $709,459.</t>
  </si>
  <si>
    <t xml:space="preserve">For example, assume that department A is budgeted to sell 5,000 units of product Z next year and  </t>
  </si>
  <si>
    <t>The estimated level of activity (production) is 5000 tests for the next fiscal year.</t>
  </si>
  <si>
    <t>For example, assume that the number of tests correlates with the cost of products produced.</t>
  </si>
  <si>
    <t>billing purposes. The total budgeted expenses calculated above are used in examples below.</t>
  </si>
  <si>
    <t>B. Activity Base Examples</t>
  </si>
  <si>
    <t xml:space="preserve">1. Consumption Base  </t>
  </si>
  <si>
    <t>2. Output Base</t>
  </si>
  <si>
    <t>3. Cost of Goods Base</t>
  </si>
  <si>
    <t>C. Rate Calculation Examples</t>
  </si>
  <si>
    <t xml:space="preserve">1. No Subsidy </t>
  </si>
  <si>
    <t xml:space="preserve">2. Service Center Subsidy </t>
  </si>
  <si>
    <t>3. User Subsidy</t>
  </si>
  <si>
    <t>A. Budgeted Expenses</t>
  </si>
  <si>
    <t xml:space="preserve">FYxx Projections and FYxx Budget </t>
  </si>
  <si>
    <t>Budgeted expenses listed separately by natural class.  Expenses are adjusted for any subsidy and/or prior year surplus or deficit.  Expenses may be allocated among major product lines in order to determine whether breakeven is achieved for each product line.</t>
  </si>
  <si>
    <t>For Internal Loans if any: chart string for repayment, loan detail, amortization schedule.</t>
  </si>
  <si>
    <t>Rate Calc - Budgeted Expenses</t>
  </si>
  <si>
    <t>xxxxxxx</t>
  </si>
  <si>
    <t>Rate documentation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</si>
</sst>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_(* #,##0_);_(* \(#,##0\);_(* &quot;-&quot;??_);_(@_)"/>
    <numFmt numFmtId="165" formatCode="_(* #,##0.000_);_(* \(#,##0.000\);_(* &quot;-&quot;??_);_(@_)"/>
  </numFmts>
  <fonts count="45" x14ac:knownFonts="1">
    <font>
      <sz val="10"/>
      <name val="Geneva"/>
    </font>
    <font>
      <b/>
      <sz val="10"/>
      <name val="Geneva"/>
    </font>
    <font>
      <sz val="10"/>
      <name val="Geneva"/>
    </font>
    <font>
      <sz val="10"/>
      <name val="Palatino"/>
    </font>
    <font>
      <b/>
      <sz val="14"/>
      <name val="Palatino"/>
    </font>
    <font>
      <b/>
      <sz val="12"/>
      <name val="Palatino"/>
    </font>
    <font>
      <b/>
      <i/>
      <sz val="14"/>
      <name val="Palatino"/>
    </font>
    <font>
      <b/>
      <sz val="10"/>
      <name val="Palatino"/>
    </font>
    <font>
      <b/>
      <u/>
      <sz val="10"/>
      <name val="Palatino"/>
    </font>
    <font>
      <u/>
      <sz val="10"/>
      <name val="Palatino"/>
    </font>
    <font>
      <b/>
      <i/>
      <sz val="10"/>
      <name val="Palatino"/>
    </font>
    <font>
      <i/>
      <sz val="10"/>
      <name val="Palatino"/>
    </font>
    <font>
      <b/>
      <sz val="8"/>
      <color indexed="8"/>
      <name val="Tahoma"/>
      <family val="2"/>
    </font>
    <font>
      <b/>
      <sz val="8"/>
      <name val="Tahoma"/>
      <family val="2"/>
    </font>
    <font>
      <sz val="8"/>
      <name val="Tahoma"/>
      <family val="2"/>
    </font>
    <font>
      <sz val="11"/>
      <name val="Calibri"/>
      <family val="2"/>
    </font>
    <font>
      <b/>
      <sz val="11"/>
      <name val="Calibri"/>
      <family val="2"/>
    </font>
    <font>
      <b/>
      <sz val="11"/>
      <color theme="1"/>
      <name val="Calibri"/>
      <family val="2"/>
      <scheme val="minor"/>
    </font>
    <font>
      <b/>
      <sz val="10"/>
      <name val="Calibri"/>
      <family val="2"/>
      <scheme val="minor"/>
    </font>
    <font>
      <sz val="9"/>
      <name val="Calibri"/>
      <family val="2"/>
      <scheme val="minor"/>
    </font>
    <font>
      <sz val="9"/>
      <color theme="1"/>
      <name val="Calibri"/>
      <family val="2"/>
      <scheme val="minor"/>
    </font>
    <font>
      <b/>
      <u/>
      <sz val="9"/>
      <name val="Calibri"/>
      <family val="2"/>
      <scheme val="minor"/>
    </font>
    <font>
      <sz val="10"/>
      <color rgb="FFFF0000"/>
      <name val="Geneva"/>
    </font>
    <font>
      <b/>
      <sz val="9"/>
      <name val="Calibri"/>
      <family val="2"/>
      <scheme val="minor"/>
    </font>
    <font>
      <sz val="10"/>
      <color theme="1"/>
      <name val="Calibri"/>
      <family val="2"/>
      <scheme val="minor"/>
    </font>
    <font>
      <sz val="10"/>
      <name val="Calibri"/>
      <family val="2"/>
      <scheme val="minor"/>
    </font>
    <font>
      <sz val="10"/>
      <color rgb="FF000000"/>
      <name val="Calibri"/>
      <family val="2"/>
      <scheme val="minor"/>
    </font>
    <font>
      <b/>
      <sz val="10"/>
      <color theme="1"/>
      <name val="Calibri"/>
      <family val="2"/>
      <scheme val="minor"/>
    </font>
    <font>
      <sz val="8"/>
      <color theme="1"/>
      <name val="Arial"/>
      <family val="2"/>
    </font>
    <font>
      <sz val="8"/>
      <color rgb="FF0070C0"/>
      <name val="Arial"/>
      <family val="2"/>
    </font>
    <font>
      <b/>
      <sz val="8"/>
      <color theme="1"/>
      <name val="Arial"/>
      <family val="2"/>
    </font>
    <font>
      <b/>
      <sz val="8"/>
      <color rgb="FF000000"/>
      <name val="Tahoma"/>
      <family val="2"/>
    </font>
    <font>
      <sz val="8"/>
      <color rgb="FF000000"/>
      <name val="Tahoma"/>
      <family val="2"/>
    </font>
    <font>
      <b/>
      <sz val="8"/>
      <color rgb="FF00B050"/>
      <name val="Tahoma"/>
      <family val="2"/>
    </font>
    <font>
      <b/>
      <sz val="8"/>
      <color rgb="FFFF0000"/>
      <name val="Tahoma"/>
      <family val="2"/>
    </font>
    <font>
      <b/>
      <u/>
      <sz val="11"/>
      <color theme="3"/>
      <name val="Arial"/>
      <family val="2"/>
    </font>
    <font>
      <b/>
      <i/>
      <u/>
      <sz val="9"/>
      <color rgb="FFFF0000"/>
      <name val="Calibri"/>
      <family val="2"/>
      <scheme val="minor"/>
    </font>
    <font>
      <b/>
      <i/>
      <u/>
      <sz val="9"/>
      <name val="Calibri"/>
      <family val="2"/>
      <scheme val="minor"/>
    </font>
    <font>
      <b/>
      <sz val="14"/>
      <name val="Arial"/>
      <family val="2"/>
    </font>
    <font>
      <sz val="10"/>
      <name val="Arial"/>
      <family val="2"/>
    </font>
    <font>
      <b/>
      <sz val="10"/>
      <name val="Arial"/>
      <family val="2"/>
    </font>
    <font>
      <sz val="11"/>
      <color theme="1"/>
      <name val="Arial"/>
      <family val="2"/>
    </font>
    <font>
      <u/>
      <sz val="11"/>
      <color theme="3"/>
      <name val="Arial"/>
      <family val="2"/>
    </font>
    <font>
      <sz val="11"/>
      <name val="Arial"/>
      <family val="2"/>
    </font>
    <font>
      <u/>
      <sz val="10"/>
      <color theme="10"/>
      <name val="Geneva"/>
    </font>
  </fonts>
  <fills count="1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EF"/>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rgb="FFF3F2EA"/>
        <bgColor indexed="64"/>
      </patternFill>
    </fill>
    <fill>
      <patternFill patternType="solid">
        <fgColor rgb="FFFFFF00"/>
        <bgColor indexed="64"/>
      </patternFill>
    </fill>
    <fill>
      <patternFill patternType="solid">
        <fgColor theme="7" tint="0.79998168889431442"/>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rgb="FF979991"/>
      </left>
      <right/>
      <top style="medium">
        <color rgb="FF979991"/>
      </top>
      <bottom/>
      <diagonal/>
    </border>
    <border>
      <left style="medium">
        <color rgb="FF979991"/>
      </left>
      <right style="medium">
        <color rgb="FF979991"/>
      </right>
      <top style="medium">
        <color rgb="FF979991"/>
      </top>
      <bottom/>
      <diagonal/>
    </border>
    <border>
      <left/>
      <right style="medium">
        <color rgb="FF979991"/>
      </right>
      <top style="medium">
        <color rgb="FF979991"/>
      </top>
      <bottom/>
      <diagonal/>
    </border>
    <border>
      <left style="medium">
        <color rgb="FF979991"/>
      </left>
      <right/>
      <top style="medium">
        <color rgb="FF979991"/>
      </top>
      <bottom style="medium">
        <color rgb="FF979991"/>
      </bottom>
      <diagonal/>
    </border>
    <border>
      <left style="medium">
        <color rgb="FF959595"/>
      </left>
      <right/>
      <top style="medium">
        <color rgb="FF959595"/>
      </top>
      <bottom/>
      <diagonal/>
    </border>
    <border>
      <left style="medium">
        <color rgb="FF979991"/>
      </left>
      <right/>
      <top/>
      <bottom/>
      <diagonal/>
    </border>
    <border>
      <left style="medium">
        <color rgb="FF959595"/>
      </left>
      <right/>
      <top/>
      <bottom/>
      <diagonal/>
    </border>
    <border>
      <left style="medium">
        <color rgb="FF979991"/>
      </left>
      <right style="medium">
        <color rgb="FF979991"/>
      </right>
      <top/>
      <bottom/>
      <diagonal/>
    </border>
    <border>
      <left/>
      <right style="medium">
        <color rgb="FF979991"/>
      </right>
      <top/>
      <bottom/>
      <diagonal/>
    </border>
    <border>
      <left style="medium">
        <color rgb="FF979991"/>
      </left>
      <right/>
      <top style="thin">
        <color auto="1"/>
      </top>
      <bottom style="medium">
        <color auto="1"/>
      </bottom>
      <diagonal/>
    </border>
    <border>
      <left style="medium">
        <color rgb="FF979991"/>
      </left>
      <right style="medium">
        <color rgb="FF979991"/>
      </right>
      <top style="thin">
        <color auto="1"/>
      </top>
      <bottom style="medium">
        <color auto="1"/>
      </bottom>
      <diagonal/>
    </border>
  </borders>
  <cellStyleXfs count="4">
    <xf numFmtId="0" fontId="0" fillId="0" borderId="0"/>
    <xf numFmtId="40" fontId="2" fillId="0" borderId="0" applyFont="0" applyFill="0" applyBorder="0" applyAlignment="0" applyProtection="0"/>
    <xf numFmtId="8" fontId="2" fillId="0" borderId="0" applyFont="0" applyFill="0" applyBorder="0" applyAlignment="0" applyProtection="0"/>
    <xf numFmtId="0" fontId="44" fillId="0" borderId="0" applyNumberFormat="0" applyFill="0" applyBorder="0" applyAlignment="0" applyProtection="0"/>
  </cellStyleXfs>
  <cellXfs count="306">
    <xf numFmtId="0" fontId="0" fillId="0" borderId="0" xfId="0"/>
    <xf numFmtId="0" fontId="3" fillId="0" borderId="0" xfId="0" applyFont="1"/>
    <xf numFmtId="0" fontId="4" fillId="0" borderId="0" xfId="0" applyFont="1" applyAlignment="1">
      <alignment horizontal="center"/>
    </xf>
    <xf numFmtId="39" fontId="3" fillId="0" borderId="0" xfId="0" applyNumberFormat="1" applyFont="1"/>
    <xf numFmtId="0" fontId="3" fillId="0" borderId="1" xfId="0" applyFont="1" applyBorder="1"/>
    <xf numFmtId="0" fontId="7" fillId="0" borderId="2" xfId="0" applyFont="1" applyBorder="1"/>
    <xf numFmtId="0" fontId="8" fillId="0" borderId="2" xfId="0" applyFont="1" applyBorder="1"/>
    <xf numFmtId="0" fontId="3" fillId="0" borderId="2" xfId="0" applyFont="1" applyBorder="1"/>
    <xf numFmtId="39" fontId="3" fillId="0" borderId="3" xfId="0" applyNumberFormat="1" applyFont="1" applyBorder="1"/>
    <xf numFmtId="0" fontId="3" fillId="0" borderId="4" xfId="0" applyFont="1" applyBorder="1"/>
    <xf numFmtId="0" fontId="3" fillId="0" borderId="5" xfId="0" applyFont="1" applyBorder="1"/>
    <xf numFmtId="0" fontId="7" fillId="0" borderId="5" xfId="0" applyFont="1" applyBorder="1" applyAlignment="1">
      <alignment horizontal="center"/>
    </xf>
    <xf numFmtId="39" fontId="3" fillId="0" borderId="6" xfId="0" applyNumberFormat="1" applyFont="1" applyBorder="1"/>
    <xf numFmtId="0" fontId="3" fillId="0" borderId="0" xfId="0" applyFont="1" applyBorder="1"/>
    <xf numFmtId="0" fontId="7" fillId="0" borderId="0" xfId="0" applyFont="1" applyBorder="1" applyAlignment="1">
      <alignment horizontal="center"/>
    </xf>
    <xf numFmtId="39" fontId="3" fillId="0" borderId="0" xfId="0" applyNumberFormat="1" applyFont="1" applyBorder="1"/>
    <xf numFmtId="0" fontId="5" fillId="0" borderId="0" xfId="0" applyFont="1" applyBorder="1"/>
    <xf numFmtId="37" fontId="3" fillId="0" borderId="5" xfId="0" applyNumberFormat="1" applyFont="1" applyBorder="1"/>
    <xf numFmtId="37" fontId="3" fillId="0" borderId="7" xfId="0" applyNumberFormat="1" applyFont="1" applyBorder="1"/>
    <xf numFmtId="37" fontId="3" fillId="0" borderId="0" xfId="0" applyNumberFormat="1" applyFont="1" applyBorder="1"/>
    <xf numFmtId="0" fontId="9" fillId="0" borderId="0" xfId="0" applyFont="1" applyBorder="1"/>
    <xf numFmtId="6" fontId="9" fillId="0" borderId="0" xfId="2" applyNumberFormat="1" applyFont="1" applyBorder="1"/>
    <xf numFmtId="0" fontId="7" fillId="0" borderId="0" xfId="0" quotePrefix="1" applyFont="1" applyBorder="1"/>
    <xf numFmtId="8" fontId="3" fillId="0" borderId="0" xfId="2" applyFont="1" applyBorder="1"/>
    <xf numFmtId="8" fontId="7" fillId="0" borderId="7" xfId="2" quotePrefix="1" applyFont="1" applyBorder="1"/>
    <xf numFmtId="6" fontId="9" fillId="0" borderId="0" xfId="2" applyNumberFormat="1" applyFont="1" applyBorder="1" applyAlignment="1">
      <alignment horizontal="right"/>
    </xf>
    <xf numFmtId="6" fontId="3" fillId="0" borderId="7" xfId="2" applyNumberFormat="1" applyFont="1" applyBorder="1"/>
    <xf numFmtId="39" fontId="7" fillId="0" borderId="0" xfId="0" quotePrefix="1" applyNumberFormat="1" applyFont="1" applyBorder="1"/>
    <xf numFmtId="0" fontId="18" fillId="2" borderId="0" xfId="0" applyFont="1" applyFill="1" applyAlignment="1">
      <alignment horizontal="center" wrapText="1"/>
    </xf>
    <xf numFmtId="49" fontId="18" fillId="2" borderId="0" xfId="0" applyNumberFormat="1" applyFont="1" applyFill="1" applyAlignment="1">
      <alignment horizontal="center" wrapText="1"/>
    </xf>
    <xf numFmtId="39" fontId="18" fillId="2" borderId="0" xfId="0" applyNumberFormat="1" applyFont="1" applyFill="1" applyAlignment="1">
      <alignment horizontal="center" wrapText="1"/>
    </xf>
    <xf numFmtId="10" fontId="18" fillId="2" borderId="0" xfId="0" applyNumberFormat="1" applyFont="1" applyFill="1" applyAlignment="1">
      <alignment horizontal="center" wrapText="1"/>
    </xf>
    <xf numFmtId="0" fontId="19" fillId="0" borderId="0" xfId="0" applyFont="1"/>
    <xf numFmtId="0" fontId="19" fillId="0" borderId="0" xfId="0" applyFont="1" applyAlignment="1">
      <alignment horizontal="right"/>
    </xf>
    <xf numFmtId="49" fontId="19" fillId="0" borderId="0" xfId="0" applyNumberFormat="1" applyFont="1" applyAlignment="1">
      <alignment horizontal="right"/>
    </xf>
    <xf numFmtId="39" fontId="19" fillId="0" borderId="0" xfId="0" applyNumberFormat="1" applyFont="1"/>
    <xf numFmtId="10" fontId="19" fillId="0" borderId="0" xfId="0" applyNumberFormat="1" applyFont="1"/>
    <xf numFmtId="39" fontId="19" fillId="3" borderId="0" xfId="0" applyNumberFormat="1" applyFont="1" applyFill="1"/>
    <xf numFmtId="0" fontId="19" fillId="0" borderId="0" xfId="0" applyFont="1" applyFill="1"/>
    <xf numFmtId="39" fontId="19" fillId="0" borderId="0" xfId="0" applyNumberFormat="1" applyFont="1" applyAlignment="1">
      <alignment horizontal="right"/>
    </xf>
    <xf numFmtId="0" fontId="19" fillId="3" borderId="0" xfId="0" applyFont="1" applyFill="1"/>
    <xf numFmtId="0" fontId="20" fillId="0" borderId="0" xfId="0" applyFont="1" applyAlignment="1">
      <alignment horizontal="right"/>
    </xf>
    <xf numFmtId="0" fontId="20" fillId="0" borderId="0" xfId="0" applyFont="1"/>
    <xf numFmtId="39" fontId="19" fillId="0" borderId="0" xfId="0" applyNumberFormat="1" applyFont="1" applyFill="1"/>
    <xf numFmtId="44" fontId="19" fillId="0" borderId="0" xfId="0" applyNumberFormat="1" applyFont="1"/>
    <xf numFmtId="39" fontId="21" fillId="0" borderId="0" xfId="0" applyNumberFormat="1" applyFont="1"/>
    <xf numFmtId="0" fontId="0" fillId="0" borderId="0" xfId="0" applyAlignment="1">
      <alignment horizontal="right"/>
    </xf>
    <xf numFmtId="0" fontId="17" fillId="0" borderId="0" xfId="0" applyFont="1" applyAlignment="1">
      <alignment horizontal="right"/>
    </xf>
    <xf numFmtId="164" fontId="0" fillId="0" borderId="0" xfId="1" applyNumberFormat="1" applyFont="1"/>
    <xf numFmtId="164" fontId="0" fillId="0" borderId="8" xfId="1" applyNumberFormat="1" applyFont="1" applyBorder="1"/>
    <xf numFmtId="2" fontId="0" fillId="0" borderId="0" xfId="0" applyNumberFormat="1"/>
    <xf numFmtId="44" fontId="0" fillId="0" borderId="0" xfId="0" applyNumberFormat="1"/>
    <xf numFmtId="0" fontId="1" fillId="0" borderId="0" xfId="0" applyFont="1"/>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5" xfId="0" applyBorder="1"/>
    <xf numFmtId="0" fontId="1" fillId="0" borderId="0" xfId="0" applyFont="1" applyAlignment="1">
      <alignment horizontal="center" wrapText="1"/>
    </xf>
    <xf numFmtId="3" fontId="0" fillId="0" borderId="0" xfId="1" applyNumberFormat="1" applyFont="1"/>
    <xf numFmtId="3" fontId="0" fillId="0" borderId="0" xfId="0" applyNumberFormat="1"/>
    <xf numFmtId="3" fontId="0" fillId="0" borderId="9" xfId="2" applyNumberFormat="1" applyFont="1" applyBorder="1"/>
    <xf numFmtId="3" fontId="0" fillId="0" borderId="5" xfId="1" applyNumberFormat="1" applyFont="1" applyBorder="1"/>
    <xf numFmtId="0" fontId="22" fillId="0" borderId="0" xfId="0" applyFont="1"/>
    <xf numFmtId="37" fontId="0" fillId="0" borderId="0" xfId="0" applyNumberFormat="1"/>
    <xf numFmtId="37" fontId="0" fillId="0" borderId="5" xfId="0" applyNumberFormat="1" applyBorder="1"/>
    <xf numFmtId="37" fontId="0" fillId="0" borderId="9" xfId="0" applyNumberFormat="1" applyBorder="1"/>
    <xf numFmtId="0" fontId="1" fillId="4" borderId="0" xfId="0" applyFont="1" applyFill="1" applyAlignment="1">
      <alignment horizontal="centerContinuous"/>
    </xf>
    <xf numFmtId="0" fontId="0" fillId="4" borderId="0" xfId="0" applyFill="1" applyAlignment="1">
      <alignment horizontal="centerContinuous"/>
    </xf>
    <xf numFmtId="0" fontId="1" fillId="5" borderId="0" xfId="0" applyFont="1" applyFill="1" applyAlignment="1">
      <alignment horizontal="centerContinuous"/>
    </xf>
    <xf numFmtId="0" fontId="0" fillId="5" borderId="0" xfId="0" applyFill="1" applyAlignment="1">
      <alignment horizontal="centerContinuous"/>
    </xf>
    <xf numFmtId="0" fontId="21" fillId="6" borderId="0" xfId="0" applyFont="1" applyFill="1"/>
    <xf numFmtId="0" fontId="19" fillId="6" borderId="0" xfId="0" applyFont="1" applyFill="1" applyAlignment="1">
      <alignment horizontal="right"/>
    </xf>
    <xf numFmtId="0" fontId="19" fillId="6" borderId="0" xfId="0" applyFont="1" applyFill="1"/>
    <xf numFmtId="49" fontId="19" fillId="6" borderId="0" xfId="0" applyNumberFormat="1" applyFont="1" applyFill="1" applyAlignment="1">
      <alignment horizontal="right"/>
    </xf>
    <xf numFmtId="44" fontId="23" fillId="6" borderId="0" xfId="0" applyNumberFormat="1" applyFont="1" applyFill="1" applyAlignment="1">
      <alignment horizontal="right"/>
    </xf>
    <xf numFmtId="39" fontId="23" fillId="6" borderId="0" xfId="0" applyNumberFormat="1" applyFont="1" applyFill="1"/>
    <xf numFmtId="39" fontId="19" fillId="3" borderId="5" xfId="0" applyNumberFormat="1" applyFont="1" applyFill="1" applyBorder="1"/>
    <xf numFmtId="39" fontId="19" fillId="0" borderId="8" xfId="0" applyNumberFormat="1" applyFont="1" applyBorder="1"/>
    <xf numFmtId="0" fontId="0" fillId="6" borderId="0" xfId="0" applyFill="1"/>
    <xf numFmtId="9" fontId="0" fillId="6" borderId="0" xfId="0" applyNumberFormat="1" applyFill="1"/>
    <xf numFmtId="39" fontId="19" fillId="6" borderId="0" xfId="0" applyNumberFormat="1" applyFont="1" applyFill="1"/>
    <xf numFmtId="39" fontId="19" fillId="6" borderId="0" xfId="0" applyNumberFormat="1" applyFont="1" applyFill="1" applyAlignment="1">
      <alignment horizontal="left"/>
    </xf>
    <xf numFmtId="39" fontId="21" fillId="6" borderId="0" xfId="0" applyNumberFormat="1" applyFont="1" applyFill="1" applyAlignment="1">
      <alignment horizontal="center"/>
    </xf>
    <xf numFmtId="39" fontId="19" fillId="6" borderId="0" xfId="0" applyNumberFormat="1" applyFont="1" applyFill="1" applyAlignment="1">
      <alignment horizontal="center"/>
    </xf>
    <xf numFmtId="39" fontId="23" fillId="6" borderId="0" xfId="0" applyNumberFormat="1" applyFont="1" applyFill="1" applyAlignment="1">
      <alignment horizontal="center"/>
    </xf>
    <xf numFmtId="44" fontId="19" fillId="6" borderId="0" xfId="0" applyNumberFormat="1" applyFont="1" applyFill="1"/>
    <xf numFmtId="39" fontId="21" fillId="6" borderId="0" xfId="0" applyNumberFormat="1" applyFont="1" applyFill="1"/>
    <xf numFmtId="44" fontId="23" fillId="6" borderId="0" xfId="0" applyNumberFormat="1" applyFont="1" applyFill="1"/>
    <xf numFmtId="10" fontId="23" fillId="0" borderId="0" xfId="0" applyNumberFormat="1" applyFont="1"/>
    <xf numFmtId="10" fontId="23" fillId="0" borderId="0" xfId="0" applyNumberFormat="1" applyFont="1" applyAlignment="1">
      <alignment horizontal="right"/>
    </xf>
    <xf numFmtId="39" fontId="23" fillId="0" borderId="0" xfId="0" applyNumberFormat="1" applyFont="1"/>
    <xf numFmtId="0" fontId="24" fillId="0" borderId="0" xfId="0" applyFont="1"/>
    <xf numFmtId="49" fontId="24" fillId="0" borderId="0" xfId="0" applyNumberFormat="1" applyFont="1" applyAlignment="1">
      <alignment horizontal="left" vertical="top"/>
    </xf>
    <xf numFmtId="0" fontId="24" fillId="0" borderId="5" xfId="0" applyFont="1" applyBorder="1" applyAlignment="1">
      <alignment horizontal="center"/>
    </xf>
    <xf numFmtId="0" fontId="25" fillId="0" borderId="5" xfId="0" applyFont="1" applyBorder="1"/>
    <xf numFmtId="0" fontId="25" fillId="0" borderId="5" xfId="0" applyFont="1" applyBorder="1" applyAlignment="1">
      <alignment horizontal="center"/>
    </xf>
    <xf numFmtId="40" fontId="25" fillId="0" borderId="5" xfId="1" applyFont="1" applyBorder="1" applyAlignment="1">
      <alignment horizontal="center"/>
    </xf>
    <xf numFmtId="40" fontId="24" fillId="0" borderId="5" xfId="1" applyFont="1" applyBorder="1" applyAlignment="1">
      <alignment horizontal="center"/>
    </xf>
    <xf numFmtId="0" fontId="24" fillId="0" borderId="5" xfId="0" applyFont="1" applyFill="1" applyBorder="1" applyAlignment="1">
      <alignment horizontal="center"/>
    </xf>
    <xf numFmtId="0" fontId="24" fillId="0" borderId="0" xfId="0" applyFont="1" applyBorder="1"/>
    <xf numFmtId="0" fontId="24" fillId="6" borderId="0" xfId="0" applyFont="1" applyFill="1" applyBorder="1"/>
    <xf numFmtId="49" fontId="26" fillId="6" borderId="0" xfId="0" applyNumberFormat="1" applyFont="1" applyFill="1" applyBorder="1" applyAlignment="1">
      <alignment horizontal="left" vertical="top" wrapText="1"/>
    </xf>
    <xf numFmtId="4" fontId="26" fillId="7" borderId="0" xfId="0" applyNumberFormat="1" applyFont="1" applyFill="1" applyBorder="1" applyAlignment="1">
      <alignment horizontal="right" wrapText="1"/>
    </xf>
    <xf numFmtId="14" fontId="24" fillId="0" borderId="0" xfId="0" applyNumberFormat="1" applyFont="1"/>
    <xf numFmtId="39" fontId="24" fillId="0" borderId="0" xfId="0" applyNumberFormat="1" applyFont="1"/>
    <xf numFmtId="4" fontId="26" fillId="6" borderId="0" xfId="0" applyNumberFormat="1" applyFont="1" applyFill="1" applyBorder="1" applyAlignment="1">
      <alignment vertical="top" wrapText="1"/>
    </xf>
    <xf numFmtId="0" fontId="24" fillId="0" borderId="5" xfId="0" applyFont="1" applyBorder="1"/>
    <xf numFmtId="39" fontId="24" fillId="0" borderId="5" xfId="0" applyNumberFormat="1" applyFont="1" applyBorder="1"/>
    <xf numFmtId="4" fontId="24" fillId="0" borderId="0" xfId="0" applyNumberFormat="1" applyFont="1"/>
    <xf numFmtId="0" fontId="24" fillId="0" borderId="5" xfId="0" applyFont="1" applyBorder="1" applyAlignment="1">
      <alignment horizontal="center" wrapText="1"/>
    </xf>
    <xf numFmtId="0" fontId="24" fillId="0" borderId="0" xfId="0" applyFont="1" applyAlignment="1">
      <alignment vertical="center"/>
    </xf>
    <xf numFmtId="49" fontId="27" fillId="0" borderId="0" xfId="0" applyNumberFormat="1" applyFont="1" applyAlignment="1">
      <alignment horizontal="left" vertical="top"/>
    </xf>
    <xf numFmtId="0" fontId="25" fillId="0" borderId="0" xfId="0" applyFont="1"/>
    <xf numFmtId="0" fontId="25" fillId="0" borderId="0" xfId="0" applyFont="1" applyAlignment="1">
      <alignment horizontal="center"/>
    </xf>
    <xf numFmtId="40" fontId="25" fillId="0" borderId="0" xfId="1" applyFont="1" applyAlignment="1">
      <alignment horizontal="center"/>
    </xf>
    <xf numFmtId="40" fontId="25" fillId="0" borderId="0" xfId="1" applyFont="1"/>
    <xf numFmtId="14" fontId="25" fillId="0" borderId="0" xfId="0" applyNumberFormat="1" applyFont="1"/>
    <xf numFmtId="165" fontId="25" fillId="0" borderId="0" xfId="1" applyNumberFormat="1" applyFont="1"/>
    <xf numFmtId="40" fontId="25" fillId="6" borderId="0" xfId="1" applyFont="1" applyFill="1"/>
    <xf numFmtId="0" fontId="25" fillId="0" borderId="5" xfId="0" applyFont="1" applyBorder="1" applyAlignment="1">
      <alignment horizontal="center" wrapText="1"/>
    </xf>
    <xf numFmtId="0" fontId="24" fillId="6" borderId="0" xfId="0" applyFont="1" applyFill="1" applyBorder="1" applyAlignment="1">
      <alignment horizontal="center"/>
    </xf>
    <xf numFmtId="0" fontId="27" fillId="0" borderId="0" xfId="0" applyFont="1"/>
    <xf numFmtId="0" fontId="25" fillId="6" borderId="0" xfId="0" applyFont="1" applyFill="1"/>
    <xf numFmtId="0" fontId="25" fillId="6" borderId="0" xfId="0" applyFont="1" applyFill="1" applyAlignment="1">
      <alignment horizontal="center"/>
    </xf>
    <xf numFmtId="165" fontId="25" fillId="6" borderId="0" xfId="1" applyNumberFormat="1" applyFont="1" applyFill="1"/>
    <xf numFmtId="0" fontId="25" fillId="6" borderId="0" xfId="0" applyFont="1" applyFill="1" applyBorder="1" applyAlignment="1">
      <alignment horizontal="left"/>
    </xf>
    <xf numFmtId="40" fontId="25" fillId="0" borderId="5" xfId="1" applyFont="1" applyBorder="1"/>
    <xf numFmtId="14" fontId="25" fillId="0" borderId="5" xfId="0" applyNumberFormat="1" applyFont="1" applyBorder="1"/>
    <xf numFmtId="165" fontId="25" fillId="0" borderId="5" xfId="1" applyNumberFormat="1" applyFont="1" applyBorder="1"/>
    <xf numFmtId="0" fontId="24" fillId="0" borderId="0" xfId="0" applyFont="1" applyAlignment="1">
      <alignment horizontal="center"/>
    </xf>
    <xf numFmtId="39" fontId="24" fillId="0" borderId="8" xfId="0" applyNumberFormat="1" applyFont="1" applyBorder="1"/>
    <xf numFmtId="0" fontId="24" fillId="0" borderId="8" xfId="0" applyFont="1" applyBorder="1"/>
    <xf numFmtId="39" fontId="25" fillId="0" borderId="0" xfId="0" applyNumberFormat="1" applyFont="1"/>
    <xf numFmtId="39" fontId="25" fillId="0" borderId="5" xfId="0" applyNumberFormat="1" applyFont="1" applyBorder="1"/>
    <xf numFmtId="39" fontId="25" fillId="0" borderId="8" xfId="1" applyNumberFormat="1" applyFont="1" applyBorder="1"/>
    <xf numFmtId="39" fontId="25" fillId="6" borderId="0" xfId="1" applyNumberFormat="1" applyFont="1" applyFill="1"/>
    <xf numFmtId="0" fontId="28" fillId="0" borderId="0" xfId="0" applyFont="1" applyFill="1" applyAlignment="1">
      <alignment horizontal="right" vertical="top" wrapText="1"/>
    </xf>
    <xf numFmtId="0" fontId="29" fillId="0" borderId="0" xfId="0" applyFont="1" applyFill="1" applyAlignment="1">
      <alignment vertical="top" wrapText="1"/>
    </xf>
    <xf numFmtId="0" fontId="28" fillId="0" borderId="0" xfId="0" applyFont="1" applyAlignment="1">
      <alignment vertical="top" wrapText="1"/>
    </xf>
    <xf numFmtId="0" fontId="28" fillId="0" borderId="0" xfId="0" applyFont="1"/>
    <xf numFmtId="0" fontId="28" fillId="0" borderId="0" xfId="0" applyFont="1" applyAlignment="1">
      <alignment horizontal="left" vertical="top" wrapText="1"/>
    </xf>
    <xf numFmtId="0" fontId="28" fillId="0" borderId="0" xfId="0" applyFont="1" applyAlignment="1">
      <alignment horizontal="right" vertical="top" wrapText="1"/>
    </xf>
    <xf numFmtId="0" fontId="30" fillId="0" borderId="23" xfId="0" applyFont="1" applyBorder="1" applyAlignment="1">
      <alignment wrapText="1"/>
    </xf>
    <xf numFmtId="49" fontId="31" fillId="8" borderId="23" xfId="0" applyNumberFormat="1" applyFont="1" applyFill="1" applyBorder="1" applyAlignment="1">
      <alignment horizontal="right" wrapText="1"/>
    </xf>
    <xf numFmtId="49" fontId="31" fillId="8" borderId="24" xfId="0" applyNumberFormat="1" applyFont="1" applyFill="1" applyBorder="1" applyAlignment="1">
      <alignment horizontal="right" wrapText="1"/>
    </xf>
    <xf numFmtId="49" fontId="31" fillId="9" borderId="0" xfId="0" applyNumberFormat="1" applyFont="1" applyFill="1" applyBorder="1" applyAlignment="1">
      <alignment horizontal="right" wrapText="1"/>
    </xf>
    <xf numFmtId="49" fontId="31" fillId="10" borderId="25" xfId="0" applyNumberFormat="1" applyFont="1" applyFill="1" applyBorder="1" applyAlignment="1">
      <alignment horizontal="right" wrapText="1"/>
    </xf>
    <xf numFmtId="49" fontId="31" fillId="10" borderId="24" xfId="0" applyNumberFormat="1" applyFont="1" applyFill="1" applyBorder="1" applyAlignment="1">
      <alignment horizontal="right" wrapText="1"/>
    </xf>
    <xf numFmtId="0" fontId="32" fillId="8" borderId="26" xfId="0" applyFont="1" applyFill="1" applyBorder="1" applyAlignment="1">
      <alignment wrapText="1"/>
    </xf>
    <xf numFmtId="0" fontId="32" fillId="8" borderId="23" xfId="0" applyFont="1" applyFill="1" applyBorder="1" applyAlignment="1">
      <alignment wrapText="1"/>
    </xf>
    <xf numFmtId="0" fontId="14" fillId="8" borderId="23" xfId="0" applyFont="1" applyFill="1" applyBorder="1" applyAlignment="1">
      <alignment wrapText="1"/>
    </xf>
    <xf numFmtId="0" fontId="32" fillId="8" borderId="24" xfId="0" applyFont="1" applyFill="1" applyBorder="1" applyAlignment="1">
      <alignment wrapText="1"/>
    </xf>
    <xf numFmtId="0" fontId="32" fillId="8" borderId="24" xfId="0" applyFont="1" applyFill="1" applyBorder="1" applyAlignment="1">
      <alignment horizontal="left" wrapText="1"/>
    </xf>
    <xf numFmtId="4" fontId="32" fillId="11" borderId="24" xfId="0" applyNumberFormat="1" applyFont="1" applyFill="1" applyBorder="1" applyAlignment="1">
      <alignment horizontal="right" wrapText="1"/>
    </xf>
    <xf numFmtId="0" fontId="32" fillId="8" borderId="23" xfId="0" applyFont="1" applyFill="1" applyBorder="1" applyAlignment="1">
      <alignment horizontal="right" wrapText="1"/>
    </xf>
    <xf numFmtId="0" fontId="32" fillId="9" borderId="0" xfId="0" applyFont="1" applyFill="1" applyBorder="1" applyAlignment="1">
      <alignment horizontal="right" wrapText="1"/>
    </xf>
    <xf numFmtId="0" fontId="32" fillId="10" borderId="25" xfId="0" applyFont="1" applyFill="1" applyBorder="1" applyAlignment="1">
      <alignment horizontal="right" wrapText="1"/>
    </xf>
    <xf numFmtId="0" fontId="32" fillId="10" borderId="24" xfId="0" applyFont="1" applyFill="1" applyBorder="1" applyAlignment="1">
      <alignment horizontal="right" wrapText="1"/>
    </xf>
    <xf numFmtId="49" fontId="32" fillId="8" borderId="26" xfId="0" applyNumberFormat="1" applyFont="1" applyFill="1" applyBorder="1" applyAlignment="1">
      <alignment vertical="top" wrapText="1"/>
    </xf>
    <xf numFmtId="4" fontId="32" fillId="7" borderId="23" xfId="0" applyNumberFormat="1" applyFont="1" applyFill="1" applyBorder="1" applyAlignment="1">
      <alignment horizontal="right" vertical="top" wrapText="1"/>
    </xf>
    <xf numFmtId="4" fontId="14" fillId="7" borderId="23" xfId="0" applyNumberFormat="1" applyFont="1" applyFill="1" applyBorder="1" applyAlignment="1">
      <alignment horizontal="right" vertical="top" wrapText="1"/>
    </xf>
    <xf numFmtId="4" fontId="32" fillId="7" borderId="24" xfId="0" applyNumberFormat="1" applyFont="1" applyFill="1" applyBorder="1" applyAlignment="1">
      <alignment horizontal="right" vertical="top" wrapText="1"/>
    </xf>
    <xf numFmtId="4" fontId="32" fillId="7" borderId="24" xfId="0" applyNumberFormat="1" applyFont="1" applyFill="1" applyBorder="1" applyAlignment="1">
      <alignment horizontal="left" vertical="top" wrapText="1"/>
    </xf>
    <xf numFmtId="4" fontId="32" fillId="10" borderId="24" xfId="0" applyNumberFormat="1" applyFont="1" applyFill="1" applyBorder="1" applyAlignment="1">
      <alignment horizontal="right" vertical="top" wrapText="1"/>
    </xf>
    <xf numFmtId="4" fontId="32" fillId="0" borderId="24" xfId="0" applyNumberFormat="1" applyFont="1" applyFill="1" applyBorder="1" applyAlignment="1">
      <alignment horizontal="left" vertical="top" wrapText="1"/>
    </xf>
    <xf numFmtId="49" fontId="31" fillId="8" borderId="26" xfId="0" applyNumberFormat="1" applyFont="1" applyFill="1" applyBorder="1" applyAlignment="1">
      <alignment vertical="top" wrapText="1"/>
    </xf>
    <xf numFmtId="4" fontId="31" fillId="12" borderId="23" xfId="0" applyNumberFormat="1" applyFont="1" applyFill="1" applyBorder="1" applyAlignment="1">
      <alignment horizontal="right" vertical="top" wrapText="1"/>
    </xf>
    <xf numFmtId="4" fontId="31" fillId="12" borderId="24" xfId="0" applyNumberFormat="1" applyFont="1" applyFill="1" applyBorder="1" applyAlignment="1">
      <alignment horizontal="right" vertical="top" wrapText="1"/>
    </xf>
    <xf numFmtId="4" fontId="31" fillId="12" borderId="24" xfId="0" applyNumberFormat="1" applyFont="1" applyFill="1" applyBorder="1" applyAlignment="1">
      <alignment horizontal="left" vertical="top" wrapText="1"/>
    </xf>
    <xf numFmtId="4" fontId="31" fillId="10" borderId="24" xfId="0" applyNumberFormat="1" applyFont="1" applyFill="1" applyBorder="1" applyAlignment="1">
      <alignment horizontal="right" vertical="top" wrapText="1"/>
    </xf>
    <xf numFmtId="49" fontId="31" fillId="0" borderId="26" xfId="0" applyNumberFormat="1" applyFont="1" applyFill="1" applyBorder="1" applyAlignment="1">
      <alignment vertical="top" wrapText="1"/>
    </xf>
    <xf numFmtId="4" fontId="31" fillId="0" borderId="23" xfId="0" applyNumberFormat="1" applyFont="1" applyFill="1" applyBorder="1" applyAlignment="1">
      <alignment horizontal="right" vertical="top" wrapText="1"/>
    </xf>
    <xf numFmtId="4" fontId="31" fillId="0" borderId="24" xfId="0" applyNumberFormat="1" applyFont="1" applyFill="1" applyBorder="1" applyAlignment="1">
      <alignment horizontal="right" vertical="top" wrapText="1"/>
    </xf>
    <xf numFmtId="4" fontId="32" fillId="7" borderId="27" xfId="0" applyNumberFormat="1" applyFont="1" applyFill="1" applyBorder="1" applyAlignment="1">
      <alignment horizontal="right" vertical="top" wrapText="1"/>
    </xf>
    <xf numFmtId="4" fontId="14" fillId="11" borderId="24" xfId="0" applyNumberFormat="1" applyFont="1" applyFill="1" applyBorder="1" applyAlignment="1">
      <alignment horizontal="right" vertical="top" wrapText="1"/>
    </xf>
    <xf numFmtId="4" fontId="33" fillId="9" borderId="0" xfId="0" applyNumberFormat="1" applyFont="1" applyFill="1" applyBorder="1" applyAlignment="1">
      <alignment horizontal="right" vertical="top" wrapText="1"/>
    </xf>
    <xf numFmtId="4" fontId="14" fillId="9" borderId="0" xfId="0" applyNumberFormat="1" applyFont="1" applyFill="1" applyBorder="1" applyAlignment="1">
      <alignment horizontal="right" vertical="top" wrapText="1"/>
    </xf>
    <xf numFmtId="4" fontId="14" fillId="10" borderId="25" xfId="0" applyNumberFormat="1" applyFont="1" applyFill="1" applyBorder="1" applyAlignment="1">
      <alignment horizontal="right" vertical="top" wrapText="1"/>
    </xf>
    <xf numFmtId="4" fontId="14" fillId="10" borderId="24" xfId="0" applyNumberFormat="1" applyFont="1" applyFill="1" applyBorder="1" applyAlignment="1">
      <alignment horizontal="right" vertical="top" wrapText="1"/>
    </xf>
    <xf numFmtId="4" fontId="14" fillId="7" borderId="24" xfId="0" applyNumberFormat="1" applyFont="1" applyFill="1" applyBorder="1" applyAlignment="1">
      <alignment horizontal="left" vertical="top" wrapText="1"/>
    </xf>
    <xf numFmtId="4" fontId="34" fillId="9" borderId="0" xfId="0" applyNumberFormat="1" applyFont="1" applyFill="1" applyBorder="1" applyAlignment="1">
      <alignment horizontal="right" vertical="top" wrapText="1"/>
    </xf>
    <xf numFmtId="0" fontId="28" fillId="0" borderId="0" xfId="0" applyFont="1" applyAlignment="1">
      <alignment horizontal="left"/>
    </xf>
    <xf numFmtId="0" fontId="28" fillId="0" borderId="0" xfId="0" applyFont="1" applyAlignment="1">
      <alignment horizontal="right"/>
    </xf>
    <xf numFmtId="4" fontId="31" fillId="7" borderId="23" xfId="0" applyNumberFormat="1" applyFont="1" applyFill="1" applyBorder="1" applyAlignment="1">
      <alignment horizontal="right" vertical="top" wrapText="1"/>
    </xf>
    <xf numFmtId="4" fontId="32" fillId="7" borderId="28" xfId="0" applyNumberFormat="1" applyFont="1" applyFill="1" applyBorder="1" applyAlignment="1">
      <alignment horizontal="right" vertical="top" wrapText="1"/>
    </xf>
    <xf numFmtId="4" fontId="32" fillId="7" borderId="29" xfId="0" applyNumberFormat="1" applyFont="1" applyFill="1" applyBorder="1" applyAlignment="1">
      <alignment horizontal="right" vertical="top" wrapText="1"/>
    </xf>
    <xf numFmtId="4" fontId="32" fillId="0" borderId="28" xfId="0" applyNumberFormat="1" applyFont="1" applyFill="1" applyBorder="1" applyAlignment="1">
      <alignment horizontal="right" vertical="top" wrapText="1"/>
    </xf>
    <xf numFmtId="4" fontId="32" fillId="0" borderId="30" xfId="0" applyNumberFormat="1" applyFont="1" applyFill="1" applyBorder="1" applyAlignment="1">
      <alignment horizontal="right" vertical="top" wrapText="1"/>
    </xf>
    <xf numFmtId="4" fontId="32" fillId="7" borderId="30" xfId="0" applyNumberFormat="1" applyFont="1" applyFill="1" applyBorder="1" applyAlignment="1">
      <alignment horizontal="left" vertical="top" wrapText="1"/>
    </xf>
    <xf numFmtId="4" fontId="14" fillId="11" borderId="30" xfId="0" applyNumberFormat="1" applyFont="1" applyFill="1" applyBorder="1" applyAlignment="1">
      <alignment horizontal="right" vertical="top" wrapText="1"/>
    </xf>
    <xf numFmtId="4" fontId="14" fillId="0" borderId="28" xfId="0" applyNumberFormat="1" applyFont="1" applyFill="1" applyBorder="1" applyAlignment="1">
      <alignment horizontal="right" vertical="top" wrapText="1"/>
    </xf>
    <xf numFmtId="4" fontId="14" fillId="10" borderId="31" xfId="0" applyNumberFormat="1" applyFont="1" applyFill="1" applyBorder="1" applyAlignment="1">
      <alignment horizontal="right" vertical="top" wrapText="1"/>
    </xf>
    <xf numFmtId="4" fontId="31" fillId="7" borderId="32" xfId="0" applyNumberFormat="1" applyFont="1" applyFill="1" applyBorder="1" applyAlignment="1">
      <alignment horizontal="right" vertical="top" wrapText="1"/>
    </xf>
    <xf numFmtId="4" fontId="13" fillId="9" borderId="10" xfId="0" applyNumberFormat="1" applyFont="1" applyFill="1" applyBorder="1" applyAlignment="1">
      <alignment horizontal="right" vertical="top" wrapText="1"/>
    </xf>
    <xf numFmtId="4" fontId="13" fillId="10" borderId="24" xfId="0" applyNumberFormat="1" applyFont="1" applyFill="1" applyBorder="1" applyAlignment="1">
      <alignment horizontal="right" vertical="top" wrapText="1"/>
    </xf>
    <xf numFmtId="4" fontId="14" fillId="7" borderId="28" xfId="0" applyNumberFormat="1" applyFont="1" applyFill="1" applyBorder="1" applyAlignment="1">
      <alignment horizontal="right" vertical="top" wrapText="1"/>
    </xf>
    <xf numFmtId="0" fontId="30" fillId="0" borderId="0" xfId="0" applyFont="1"/>
    <xf numFmtId="4" fontId="32" fillId="7" borderId="30" xfId="0" applyNumberFormat="1" applyFont="1" applyFill="1" applyBorder="1" applyAlignment="1">
      <alignment horizontal="right" vertical="top" wrapText="1"/>
    </xf>
    <xf numFmtId="0" fontId="30" fillId="0" borderId="10" xfId="0" applyFont="1" applyBorder="1"/>
    <xf numFmtId="0" fontId="30" fillId="0" borderId="10" xfId="0" applyFont="1" applyBorder="1" applyAlignment="1">
      <alignment horizontal="left"/>
    </xf>
    <xf numFmtId="4" fontId="31" fillId="12" borderId="28" xfId="0" applyNumberFormat="1" applyFont="1" applyFill="1" applyBorder="1" applyAlignment="1">
      <alignment horizontal="right" vertical="top" wrapText="1"/>
    </xf>
    <xf numFmtId="4" fontId="13" fillId="12" borderId="28" xfId="0" applyNumberFormat="1" applyFont="1" applyFill="1" applyBorder="1" applyAlignment="1">
      <alignment horizontal="right" vertical="top" wrapText="1"/>
    </xf>
    <xf numFmtId="4" fontId="31" fillId="12" borderId="30" xfId="0" applyNumberFormat="1" applyFont="1" applyFill="1" applyBorder="1" applyAlignment="1">
      <alignment horizontal="right" vertical="top" wrapText="1"/>
    </xf>
    <xf numFmtId="4" fontId="31" fillId="12" borderId="30" xfId="0" applyNumberFormat="1" applyFont="1" applyFill="1" applyBorder="1" applyAlignment="1">
      <alignment horizontal="left" vertical="top" wrapText="1"/>
    </xf>
    <xf numFmtId="4" fontId="33" fillId="12" borderId="28" xfId="0" applyNumberFormat="1" applyFont="1" applyFill="1" applyBorder="1" applyAlignment="1">
      <alignment horizontal="right" vertical="top" wrapText="1"/>
    </xf>
    <xf numFmtId="4" fontId="31" fillId="10" borderId="31" xfId="0" applyNumberFormat="1" applyFont="1" applyFill="1" applyBorder="1" applyAlignment="1">
      <alignment horizontal="right" vertical="top" wrapText="1"/>
    </xf>
    <xf numFmtId="4" fontId="31" fillId="0" borderId="32" xfId="0" applyNumberFormat="1" applyFont="1" applyFill="1" applyBorder="1" applyAlignment="1">
      <alignment horizontal="right" vertical="top" wrapText="1"/>
    </xf>
    <xf numFmtId="4" fontId="31" fillId="0" borderId="33" xfId="0" applyNumberFormat="1" applyFont="1" applyFill="1" applyBorder="1" applyAlignment="1">
      <alignment horizontal="right" vertical="top" wrapText="1"/>
    </xf>
    <xf numFmtId="4" fontId="31" fillId="0" borderId="33" xfId="0" applyNumberFormat="1" applyFont="1" applyFill="1" applyBorder="1" applyAlignment="1">
      <alignment horizontal="left" vertical="top" wrapText="1"/>
    </xf>
    <xf numFmtId="4" fontId="30" fillId="0" borderId="10" xfId="0" applyNumberFormat="1" applyFont="1" applyBorder="1"/>
    <xf numFmtId="0" fontId="28" fillId="13" borderId="0" xfId="0" applyFont="1" applyFill="1" applyAlignment="1">
      <alignment horizontal="center" vertical="top" wrapText="1"/>
    </xf>
    <xf numFmtId="39" fontId="27" fillId="13" borderId="8" xfId="0" applyNumberFormat="1" applyFont="1" applyFill="1" applyBorder="1"/>
    <xf numFmtId="49" fontId="26" fillId="6" borderId="5" xfId="0" applyNumberFormat="1" applyFont="1" applyFill="1" applyBorder="1" applyAlignment="1">
      <alignment horizontal="left" vertical="top" wrapText="1"/>
    </xf>
    <xf numFmtId="39" fontId="18" fillId="13" borderId="8" xfId="1" applyNumberFormat="1" applyFont="1" applyFill="1" applyBorder="1"/>
    <xf numFmtId="8" fontId="7" fillId="0" borderId="7" xfId="0" quotePrefix="1" applyNumberFormat="1" applyFont="1" applyBorder="1"/>
    <xf numFmtId="39" fontId="7" fillId="0" borderId="7" xfId="0" quotePrefix="1" applyNumberFormat="1" applyFont="1" applyBorder="1"/>
    <xf numFmtId="39" fontId="7" fillId="0" borderId="5" xfId="0" applyNumberFormat="1" applyFont="1" applyBorder="1"/>
    <xf numFmtId="39" fontId="7" fillId="0" borderId="0" xfId="0" applyNumberFormat="1" applyFont="1" applyBorder="1"/>
    <xf numFmtId="6" fontId="7" fillId="0" borderId="7" xfId="2" applyNumberFormat="1" applyFont="1" applyBorder="1"/>
    <xf numFmtId="0" fontId="15" fillId="0" borderId="0" xfId="0" applyFont="1" applyAlignment="1">
      <alignment horizontal="justify" vertical="center"/>
    </xf>
    <xf numFmtId="0" fontId="15" fillId="0" borderId="0" xfId="0" applyFont="1" applyAlignment="1">
      <alignment vertical="center"/>
    </xf>
    <xf numFmtId="0" fontId="16" fillId="0" borderId="0" xfId="0" applyFont="1" applyAlignment="1">
      <alignment vertical="center"/>
    </xf>
    <xf numFmtId="0" fontId="17" fillId="0" borderId="0" xfId="0" applyFont="1"/>
    <xf numFmtId="39" fontId="32" fillId="7" borderId="23" xfId="0" applyNumberFormat="1" applyFont="1" applyFill="1" applyBorder="1" applyAlignment="1">
      <alignment horizontal="right" vertical="top" wrapText="1"/>
    </xf>
    <xf numFmtId="39" fontId="14" fillId="7" borderId="23" xfId="0" applyNumberFormat="1" applyFont="1" applyFill="1" applyBorder="1" applyAlignment="1">
      <alignment horizontal="right" vertical="top" wrapText="1"/>
    </xf>
    <xf numFmtId="39" fontId="32" fillId="7" borderId="24" xfId="0" applyNumberFormat="1" applyFont="1" applyFill="1" applyBorder="1" applyAlignment="1">
      <alignment horizontal="right" vertical="top" wrapText="1"/>
    </xf>
    <xf numFmtId="39" fontId="32" fillId="7" borderId="24" xfId="0" applyNumberFormat="1" applyFont="1" applyFill="1" applyBorder="1" applyAlignment="1">
      <alignment horizontal="left" vertical="top" wrapText="1"/>
    </xf>
    <xf numFmtId="39" fontId="32" fillId="11" borderId="24" xfId="0" applyNumberFormat="1" applyFont="1" applyFill="1" applyBorder="1" applyAlignment="1">
      <alignment horizontal="right" vertical="top" wrapText="1"/>
    </xf>
    <xf numFmtId="39" fontId="32" fillId="12" borderId="23" xfId="0" applyNumberFormat="1" applyFont="1" applyFill="1" applyBorder="1" applyAlignment="1">
      <alignment horizontal="right" vertical="top" wrapText="1"/>
    </xf>
    <xf numFmtId="39" fontId="32" fillId="9" borderId="0" xfId="0" applyNumberFormat="1" applyFont="1" applyFill="1" applyBorder="1" applyAlignment="1">
      <alignment horizontal="right" vertical="top" wrapText="1"/>
    </xf>
    <xf numFmtId="39" fontId="32" fillId="10" borderId="25" xfId="0" applyNumberFormat="1" applyFont="1" applyFill="1" applyBorder="1" applyAlignment="1">
      <alignment horizontal="right" vertical="top" wrapText="1"/>
    </xf>
    <xf numFmtId="39" fontId="31" fillId="12" borderId="23" xfId="0" applyNumberFormat="1" applyFont="1" applyFill="1" applyBorder="1" applyAlignment="1">
      <alignment horizontal="right" vertical="top" wrapText="1"/>
    </xf>
    <xf numFmtId="39" fontId="13" fillId="12" borderId="23" xfId="0" applyNumberFormat="1" applyFont="1" applyFill="1" applyBorder="1" applyAlignment="1">
      <alignment horizontal="right" vertical="top" wrapText="1"/>
    </xf>
    <xf numFmtId="39" fontId="31" fillId="12" borderId="24" xfId="0" applyNumberFormat="1" applyFont="1" applyFill="1" applyBorder="1" applyAlignment="1">
      <alignment horizontal="right" vertical="top" wrapText="1"/>
    </xf>
    <xf numFmtId="39" fontId="31" fillId="12" borderId="24" xfId="0" applyNumberFormat="1" applyFont="1" applyFill="1" applyBorder="1" applyAlignment="1">
      <alignment horizontal="left" vertical="top" wrapText="1"/>
    </xf>
    <xf numFmtId="39" fontId="31" fillId="11" borderId="24" xfId="0" applyNumberFormat="1" applyFont="1" applyFill="1" applyBorder="1" applyAlignment="1">
      <alignment horizontal="right" vertical="top" wrapText="1"/>
    </xf>
    <xf numFmtId="39" fontId="34" fillId="12" borderId="23" xfId="0" applyNumberFormat="1" applyFont="1" applyFill="1" applyBorder="1" applyAlignment="1">
      <alignment horizontal="right" vertical="top" wrapText="1"/>
    </xf>
    <xf numFmtId="39" fontId="31" fillId="9" borderId="0" xfId="0" applyNumberFormat="1" applyFont="1" applyFill="1" applyBorder="1" applyAlignment="1">
      <alignment horizontal="right" vertical="top" wrapText="1"/>
    </xf>
    <xf numFmtId="39" fontId="31" fillId="10" borderId="25" xfId="0" applyNumberFormat="1" applyFont="1" applyFill="1" applyBorder="1" applyAlignment="1">
      <alignment horizontal="right" vertical="top" wrapText="1"/>
    </xf>
    <xf numFmtId="0" fontId="3" fillId="0" borderId="16" xfId="0" applyFont="1" applyBorder="1"/>
    <xf numFmtId="0" fontId="7" fillId="0" borderId="0" xfId="0" applyFont="1" applyBorder="1"/>
    <xf numFmtId="14" fontId="3" fillId="0" borderId="0" xfId="0" applyNumberFormat="1" applyFont="1" applyBorder="1"/>
    <xf numFmtId="0" fontId="3" fillId="0" borderId="17" xfId="0" applyFont="1" applyBorder="1"/>
    <xf numFmtId="0" fontId="8" fillId="0" borderId="0" xfId="0" applyFont="1" applyBorder="1"/>
    <xf numFmtId="39" fontId="3" fillId="0" borderId="5" xfId="0" applyNumberFormat="1" applyFont="1" applyBorder="1"/>
    <xf numFmtId="0" fontId="3" fillId="0" borderId="6" xfId="0" applyFont="1" applyBorder="1"/>
    <xf numFmtId="0" fontId="7" fillId="0" borderId="16" xfId="0" applyFont="1" applyBorder="1"/>
    <xf numFmtId="0" fontId="5" fillId="0" borderId="16" xfId="0" quotePrefix="1" applyFont="1" applyBorder="1"/>
    <xf numFmtId="0" fontId="5" fillId="0" borderId="16" xfId="0" applyFont="1" applyBorder="1"/>
    <xf numFmtId="0" fontId="0" fillId="0" borderId="0" xfId="0" applyBorder="1"/>
    <xf numFmtId="0" fontId="3" fillId="0" borderId="0" xfId="0" applyFont="1" applyBorder="1" applyAlignment="1">
      <alignment horizontal="left"/>
    </xf>
    <xf numFmtId="8" fontId="3" fillId="0" borderId="17" xfId="0" applyNumberFormat="1" applyFont="1" applyBorder="1"/>
    <xf numFmtId="0" fontId="3" fillId="0" borderId="0" xfId="0" quotePrefix="1" applyFont="1" applyBorder="1"/>
    <xf numFmtId="6" fontId="3" fillId="0" borderId="0" xfId="0" applyNumberFormat="1" applyFont="1" applyBorder="1"/>
    <xf numFmtId="0" fontId="10" fillId="0" borderId="0" xfId="0" applyFont="1" applyBorder="1"/>
    <xf numFmtId="6" fontId="3" fillId="0" borderId="0" xfId="2" applyNumberFormat="1" applyFont="1" applyBorder="1" applyAlignment="1"/>
    <xf numFmtId="0" fontId="4" fillId="0" borderId="5" xfId="0" applyFont="1" applyBorder="1" applyAlignment="1">
      <alignment horizontal="center"/>
    </xf>
    <xf numFmtId="0" fontId="5" fillId="10" borderId="1" xfId="0" applyFont="1" applyFill="1" applyBorder="1"/>
    <xf numFmtId="0" fontId="5" fillId="10" borderId="2" xfId="0" applyFont="1" applyFill="1" applyBorder="1"/>
    <xf numFmtId="0" fontId="3" fillId="10" borderId="2" xfId="0" applyFont="1" applyFill="1" applyBorder="1"/>
    <xf numFmtId="0" fontId="3" fillId="10" borderId="3" xfId="0" applyFont="1" applyFill="1" applyBorder="1"/>
    <xf numFmtId="0" fontId="0" fillId="0" borderId="16" xfId="0" applyBorder="1"/>
    <xf numFmtId="37" fontId="9" fillId="0" borderId="0" xfId="2" quotePrefix="1" applyNumberFormat="1" applyFont="1" applyBorder="1" applyAlignment="1">
      <alignment horizontal="center"/>
    </xf>
    <xf numFmtId="37" fontId="3" fillId="0" borderId="0" xfId="0" quotePrefix="1" applyNumberFormat="1" applyFont="1" applyBorder="1" applyAlignment="1">
      <alignment horizontal="center"/>
    </xf>
    <xf numFmtId="0" fontId="3" fillId="0" borderId="0" xfId="0" applyFont="1" applyBorder="1" applyAlignment="1">
      <alignment horizontal="right"/>
    </xf>
    <xf numFmtId="39" fontId="9" fillId="0" borderId="0" xfId="0" quotePrefix="1" applyNumberFormat="1" applyFont="1" applyBorder="1"/>
    <xf numFmtId="0" fontId="9" fillId="0" borderId="0" xfId="0" applyFont="1" applyBorder="1" applyAlignment="1">
      <alignment horizontal="left"/>
    </xf>
    <xf numFmtId="0" fontId="11" fillId="0" borderId="0" xfId="0" applyFont="1" applyBorder="1" applyAlignment="1">
      <alignment horizontal="right"/>
    </xf>
    <xf numFmtId="0" fontId="5" fillId="14" borderId="1" xfId="0" applyFont="1" applyFill="1" applyBorder="1"/>
    <xf numFmtId="0" fontId="5" fillId="14" borderId="2" xfId="0" applyFont="1" applyFill="1" applyBorder="1"/>
    <xf numFmtId="0" fontId="3" fillId="14" borderId="2" xfId="0" applyFont="1" applyFill="1" applyBorder="1"/>
    <xf numFmtId="0" fontId="6" fillId="14" borderId="2" xfId="0" applyFont="1" applyFill="1" applyBorder="1" applyAlignment="1">
      <alignment horizontal="center"/>
    </xf>
    <xf numFmtId="39" fontId="3" fillId="14" borderId="2" xfId="0" applyNumberFormat="1" applyFont="1" applyFill="1" applyBorder="1"/>
    <xf numFmtId="0" fontId="3" fillId="14" borderId="3" xfId="0" applyFont="1" applyFill="1" applyBorder="1"/>
    <xf numFmtId="0" fontId="7" fillId="4" borderId="1" xfId="0" applyFont="1" applyFill="1" applyBorder="1"/>
    <xf numFmtId="0" fontId="5" fillId="4" borderId="2" xfId="0" applyFont="1" applyFill="1" applyBorder="1"/>
    <xf numFmtId="0" fontId="3" fillId="4" borderId="2" xfId="0" applyFont="1" applyFill="1" applyBorder="1"/>
    <xf numFmtId="39" fontId="3" fillId="4" borderId="2" xfId="0" applyNumberFormat="1" applyFont="1" applyFill="1" applyBorder="1"/>
    <xf numFmtId="0" fontId="3" fillId="4" borderId="3" xfId="0" applyFont="1" applyFill="1" applyBorder="1"/>
    <xf numFmtId="0" fontId="39" fillId="0" borderId="0" xfId="0" applyFont="1"/>
    <xf numFmtId="0" fontId="41" fillId="0" borderId="11" xfId="0" applyFont="1" applyBorder="1" applyAlignment="1">
      <alignment horizontal="left" vertical="top"/>
    </xf>
    <xf numFmtId="0" fontId="42" fillId="0" borderId="11" xfId="0" applyFont="1" applyBorder="1" applyAlignment="1">
      <alignment horizontal="left" vertical="top"/>
    </xf>
    <xf numFmtId="0" fontId="42" fillId="0" borderId="0" xfId="0" applyFont="1" applyAlignment="1">
      <alignment horizontal="left" vertical="top"/>
    </xf>
    <xf numFmtId="0" fontId="41" fillId="0" borderId="11" xfId="0" applyFont="1" applyBorder="1"/>
    <xf numFmtId="0" fontId="43" fillId="0" borderId="12" xfId="0" applyFont="1" applyBorder="1"/>
    <xf numFmtId="0" fontId="43" fillId="0" borderId="11" xfId="0" applyFont="1" applyBorder="1"/>
    <xf numFmtId="0" fontId="43" fillId="0" borderId="0" xfId="0" applyFont="1"/>
    <xf numFmtId="0" fontId="43" fillId="0" borderId="14" xfId="0" applyFont="1" applyBorder="1"/>
    <xf numFmtId="0" fontId="0" fillId="0" borderId="0" xfId="0" applyAlignment="1">
      <alignment horizontal="center" vertical="center"/>
    </xf>
    <xf numFmtId="0" fontId="44" fillId="4" borderId="15" xfId="3" applyFill="1" applyBorder="1"/>
    <xf numFmtId="0" fontId="44" fillId="0" borderId="0" xfId="3"/>
    <xf numFmtId="0" fontId="44" fillId="10" borderId="15" xfId="3" applyFill="1" applyBorder="1"/>
    <xf numFmtId="0" fontId="44" fillId="10" borderId="18" xfId="3" applyFill="1" applyBorder="1"/>
    <xf numFmtId="0" fontId="44" fillId="0" borderId="13" xfId="3" applyBorder="1"/>
    <xf numFmtId="0" fontId="44" fillId="0" borderId="11" xfId="3" applyBorder="1"/>
    <xf numFmtId="0" fontId="44" fillId="4" borderId="11" xfId="3" applyFill="1" applyBorder="1" applyAlignment="1">
      <alignment vertical="center"/>
    </xf>
    <xf numFmtId="0" fontId="44" fillId="10" borderId="11" xfId="3" applyFill="1" applyBorder="1" applyAlignment="1">
      <alignment vertical="center"/>
    </xf>
    <xf numFmtId="0" fontId="44" fillId="10" borderId="19" xfId="3" applyFill="1" applyBorder="1" applyAlignment="1">
      <alignment vertical="center"/>
    </xf>
    <xf numFmtId="0" fontId="44" fillId="0" borderId="20" xfId="3" applyBorder="1" applyAlignment="1">
      <alignment vertical="center"/>
    </xf>
    <xf numFmtId="0" fontId="44" fillId="0" borderId="21" xfId="3" applyBorder="1" applyAlignment="1">
      <alignment vertical="center"/>
    </xf>
    <xf numFmtId="0" fontId="44" fillId="0" borderId="22" xfId="3" applyBorder="1" applyAlignment="1">
      <alignment vertical="center"/>
    </xf>
    <xf numFmtId="0" fontId="38" fillId="0" borderId="0" xfId="0" applyFont="1" applyBorder="1" applyAlignment="1">
      <alignment horizontal="center" vertical="center"/>
    </xf>
    <xf numFmtId="0" fontId="40" fillId="0" borderId="0" xfId="0" applyFont="1" applyBorder="1" applyAlignment="1">
      <alignment horizontal="center" vertical="center"/>
    </xf>
    <xf numFmtId="39" fontId="36" fillId="6" borderId="0" xfId="0" applyNumberFormat="1" applyFont="1" applyFill="1" applyAlignment="1">
      <alignment horizontal="center" wrapText="1"/>
    </xf>
    <xf numFmtId="39" fontId="37" fillId="6" borderId="0" xfId="0" applyNumberFormat="1" applyFont="1" applyFill="1" applyAlignment="1">
      <alignment horizontal="center" wrapText="1"/>
    </xf>
    <xf numFmtId="0" fontId="35" fillId="0" borderId="0" xfId="0" applyFont="1" applyAlignment="1">
      <alignment horizontal="lef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abSelected="1" workbookViewId="0">
      <selection sqref="A1:C1"/>
    </sheetView>
  </sheetViews>
  <sheetFormatPr baseColWidth="10" defaultColWidth="9.140625" defaultRowHeight="14" x14ac:dyDescent="0.15"/>
  <cols>
    <col min="1" max="1" width="20.85546875" style="286" bestFit="1" customWidth="1"/>
    <col min="2" max="2" width="40.140625" style="279" bestFit="1" customWidth="1"/>
    <col min="3" max="3" width="26.28515625" style="279" bestFit="1" customWidth="1"/>
    <col min="4" max="16384" width="9.140625" style="279"/>
  </cols>
  <sheetData>
    <row r="1" spans="1:8" ht="19" thickBot="1" x14ac:dyDescent="0.2">
      <c r="A1" s="301" t="s">
        <v>275</v>
      </c>
      <c r="B1" s="302"/>
      <c r="C1" s="302"/>
    </row>
    <row r="2" spans="1:8" s="286" customFormat="1" ht="15" x14ac:dyDescent="0.2">
      <c r="A2" s="298" t="s">
        <v>287</v>
      </c>
      <c r="B2" s="293" t="s">
        <v>304</v>
      </c>
      <c r="C2" s="287"/>
    </row>
    <row r="3" spans="1:8" s="286" customFormat="1" ht="15" x14ac:dyDescent="0.2">
      <c r="A3" s="299"/>
      <c r="B3" s="295" t="s">
        <v>296</v>
      </c>
      <c r="C3" s="290" t="s">
        <v>297</v>
      </c>
    </row>
    <row r="4" spans="1:8" s="286" customFormat="1" ht="15" x14ac:dyDescent="0.2">
      <c r="A4" s="299"/>
      <c r="B4" s="295"/>
      <c r="C4" s="289" t="s">
        <v>298</v>
      </c>
    </row>
    <row r="5" spans="1:8" s="286" customFormat="1" ht="15" x14ac:dyDescent="0.2">
      <c r="A5" s="299"/>
      <c r="B5" s="295"/>
      <c r="C5" s="289" t="s">
        <v>299</v>
      </c>
    </row>
    <row r="6" spans="1:8" s="286" customFormat="1" ht="15" x14ac:dyDescent="0.2">
      <c r="A6" s="299"/>
      <c r="B6" s="296" t="s">
        <v>300</v>
      </c>
      <c r="C6" s="291" t="s">
        <v>301</v>
      </c>
    </row>
    <row r="7" spans="1:8" s="286" customFormat="1" ht="15" x14ac:dyDescent="0.2">
      <c r="A7" s="299"/>
      <c r="B7" s="296"/>
      <c r="C7" s="291" t="s">
        <v>302</v>
      </c>
    </row>
    <row r="8" spans="1:8" s="286" customFormat="1" ht="16" thickBot="1" x14ac:dyDescent="0.25">
      <c r="A8" s="300"/>
      <c r="B8" s="297"/>
      <c r="C8" s="292" t="s">
        <v>303</v>
      </c>
    </row>
    <row r="9" spans="1:8" s="286" customFormat="1" x14ac:dyDescent="0.15">
      <c r="A9" s="284"/>
      <c r="B9" s="284"/>
      <c r="C9" s="284"/>
    </row>
    <row r="10" spans="1:8" s="286" customFormat="1" ht="15" x14ac:dyDescent="0.2">
      <c r="A10" s="294" t="s">
        <v>269</v>
      </c>
      <c r="B10" s="285" t="s">
        <v>270</v>
      </c>
      <c r="C10" s="285"/>
    </row>
    <row r="11" spans="1:8" s="286" customFormat="1" x14ac:dyDescent="0.15">
      <c r="A11" s="285"/>
      <c r="B11" s="285"/>
      <c r="C11" s="285"/>
    </row>
    <row r="12" spans="1:8" s="286" customFormat="1" ht="15" x14ac:dyDescent="0.2">
      <c r="A12" s="294" t="s">
        <v>271</v>
      </c>
      <c r="B12" s="285" t="s">
        <v>270</v>
      </c>
      <c r="C12" s="285"/>
    </row>
    <row r="13" spans="1:8" s="286" customFormat="1" x14ac:dyDescent="0.15">
      <c r="A13" s="285"/>
      <c r="B13" s="285"/>
      <c r="C13" s="285"/>
    </row>
    <row r="14" spans="1:8" s="286" customFormat="1" ht="15" x14ac:dyDescent="0.2">
      <c r="A14" s="294" t="s">
        <v>272</v>
      </c>
      <c r="B14" s="280" t="s">
        <v>305</v>
      </c>
      <c r="C14" s="281"/>
      <c r="D14" s="282"/>
      <c r="E14" s="282"/>
      <c r="F14" s="282"/>
      <c r="G14" s="282"/>
      <c r="H14" s="282"/>
    </row>
    <row r="15" spans="1:8" s="286" customFormat="1" x14ac:dyDescent="0.15">
      <c r="A15" s="285"/>
      <c r="B15" s="285"/>
      <c r="C15" s="285"/>
    </row>
    <row r="16" spans="1:8" s="286" customFormat="1" ht="15" x14ac:dyDescent="0.2">
      <c r="A16" s="294" t="s">
        <v>274</v>
      </c>
      <c r="B16" s="285" t="s">
        <v>273</v>
      </c>
      <c r="C16" s="285"/>
    </row>
    <row r="17" spans="1:3" s="286" customFormat="1" x14ac:dyDescent="0.15">
      <c r="A17" s="285"/>
      <c r="B17" s="285"/>
      <c r="C17" s="285"/>
    </row>
    <row r="18" spans="1:3" s="286" customFormat="1" ht="15" x14ac:dyDescent="0.2">
      <c r="A18" s="294" t="s">
        <v>283</v>
      </c>
      <c r="B18" s="283" t="s">
        <v>284</v>
      </c>
      <c r="C18" s="285"/>
    </row>
    <row r="19" spans="1:3" s="286" customFormat="1" x14ac:dyDescent="0.15"/>
    <row r="20" spans="1:3" s="286" customFormat="1" x14ac:dyDescent="0.15"/>
  </sheetData>
  <mergeCells count="4">
    <mergeCell ref="B3:B5"/>
    <mergeCell ref="B6:B8"/>
    <mergeCell ref="A2:A8"/>
    <mergeCell ref="A1:C1"/>
  </mergeCells>
  <hyperlinks>
    <hyperlink ref="C3" location="Index!A27" display="1. Consumption Base  "/>
    <hyperlink ref="C4" location="'Ex 1 Rate Calc '!A54" display="2. Output Base"/>
    <hyperlink ref="C5" location="'Ex 1 Rate Calc '!A66" display="3. Cost of Goods Base"/>
    <hyperlink ref="C6" location="'Ex 1 Rate Calc '!A113" display="1. No Subsidy "/>
    <hyperlink ref="C7" location="'Ex 1 Rate Calc '!A121" display="2. Service Center Subsidy "/>
    <hyperlink ref="C8" location="'Ex 1 Rate Calc '!A132" display="3. User Subsidy"/>
    <hyperlink ref="B2" location="'Ex 1 Rate Calc '!A2" display="A. Budgeted Expenses"/>
    <hyperlink ref="A2:A8" location="'Ex 1 Rate Calc '!A1" display="Ex 1 Rate Calc"/>
    <hyperlink ref="B3:B5" location="'Ex 1 Rate Calc '!A22" display="B. Activity Base Examples"/>
    <hyperlink ref="B6:B8" location="'Ex 1 Rate Calc '!A104" display="C. Rate Calculation Examples"/>
    <hyperlink ref="A10" location="'Ex 2 Salary Sch #1'!A1" display="Ex 2 Salary Sch #1"/>
    <hyperlink ref="A12" location="'Ex 3 Salary Sch #2'!A1" display="Ex 3 Salary Sch #2"/>
    <hyperlink ref="A14" location="'Ex 4 Direct Cost Sch'!A1" display="Ex 4 Direct Cost Sch"/>
    <hyperlink ref="A16" location="'Ex 5 Equip Depr Sch'!A1" display="Ex 5 Equip Depr Sch"/>
    <hyperlink ref="A18" location="'Ex 6 Revenue Sch'!A1" display="Ex 6 Revenue Sch"/>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0" sqref="B10"/>
    </sheetView>
  </sheetViews>
  <sheetFormatPr baseColWidth="10" defaultColWidth="8.7109375" defaultRowHeight="14" x14ac:dyDescent="0.2"/>
  <cols>
    <col min="1" max="1" width="6" customWidth="1"/>
    <col min="2" max="2" width="79.85546875" customWidth="1"/>
  </cols>
  <sheetData>
    <row r="1" spans="1:2" ht="15" x14ac:dyDescent="0.2">
      <c r="A1" s="221" t="s">
        <v>310</v>
      </c>
    </row>
    <row r="2" spans="1:2" ht="15" x14ac:dyDescent="0.2">
      <c r="A2" s="221"/>
    </row>
    <row r="3" spans="1:2" ht="45" x14ac:dyDescent="0.2">
      <c r="A3" s="288">
        <v>1</v>
      </c>
      <c r="B3" s="219" t="s">
        <v>306</v>
      </c>
    </row>
    <row r="4" spans="1:2" ht="30" x14ac:dyDescent="0.2">
      <c r="A4" s="288">
        <v>2</v>
      </c>
      <c r="B4" s="219" t="s">
        <v>285</v>
      </c>
    </row>
    <row r="5" spans="1:2" ht="45" x14ac:dyDescent="0.2">
      <c r="A5" s="288">
        <v>3</v>
      </c>
      <c r="B5" s="219" t="s">
        <v>286</v>
      </c>
    </row>
    <row r="6" spans="1:2" ht="30" x14ac:dyDescent="0.2">
      <c r="A6" s="288">
        <v>4</v>
      </c>
      <c r="B6" s="219" t="s">
        <v>276</v>
      </c>
    </row>
    <row r="7" spans="1:2" ht="15" x14ac:dyDescent="0.2">
      <c r="A7" s="53">
        <v>5</v>
      </c>
      <c r="B7" s="219" t="s">
        <v>307</v>
      </c>
    </row>
    <row r="8" spans="1:2" ht="15" x14ac:dyDescent="0.2">
      <c r="A8" s="2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I147"/>
  <sheetViews>
    <sheetView topLeftCell="A92" workbookViewId="0">
      <selection activeCell="A104" sqref="A104"/>
    </sheetView>
  </sheetViews>
  <sheetFormatPr baseColWidth="10" defaultColWidth="10.7109375" defaultRowHeight="14" x14ac:dyDescent="0.2"/>
  <cols>
    <col min="1" max="1" width="3.28515625" style="1" customWidth="1"/>
    <col min="2" max="2" width="4.7109375" style="1" customWidth="1"/>
    <col min="3" max="3" width="4.85546875" style="1" customWidth="1"/>
    <col min="4" max="4" width="5.85546875" style="1" customWidth="1"/>
    <col min="5" max="5" width="34.7109375" style="1" customWidth="1"/>
    <col min="6" max="6" width="11.140625" style="3" customWidth="1"/>
    <col min="7" max="7" width="8.140625" style="1" customWidth="1"/>
    <col min="8" max="16384" width="10.7109375" style="1"/>
  </cols>
  <sheetData>
    <row r="1" spans="1:9" ht="19" x14ac:dyDescent="0.25">
      <c r="E1" s="2"/>
    </row>
    <row r="2" spans="1:9" ht="19" x14ac:dyDescent="0.25">
      <c r="A2" s="268" t="s">
        <v>266</v>
      </c>
      <c r="B2" s="269" t="s">
        <v>308</v>
      </c>
      <c r="C2" s="270"/>
      <c r="D2" s="270"/>
      <c r="E2" s="271"/>
      <c r="F2" s="272"/>
      <c r="G2" s="270"/>
      <c r="H2" s="270"/>
      <c r="I2" s="273"/>
    </row>
    <row r="3" spans="1:9" x14ac:dyDescent="0.2">
      <c r="A3" s="239"/>
      <c r="B3" s="13"/>
      <c r="C3" s="13"/>
      <c r="D3" s="13"/>
      <c r="E3" s="13"/>
      <c r="F3" s="15"/>
      <c r="G3" s="240"/>
      <c r="H3" s="241"/>
      <c r="I3" s="242"/>
    </row>
    <row r="4" spans="1:9" x14ac:dyDescent="0.2">
      <c r="A4" s="239"/>
      <c r="B4" s="13" t="s">
        <v>0</v>
      </c>
      <c r="C4" s="13"/>
      <c r="D4" s="13"/>
      <c r="E4" s="13"/>
      <c r="F4" s="15"/>
      <c r="G4" s="240"/>
      <c r="H4" s="241"/>
      <c r="I4" s="242"/>
    </row>
    <row r="5" spans="1:9" x14ac:dyDescent="0.2">
      <c r="A5" s="239"/>
      <c r="B5" s="13" t="s">
        <v>1</v>
      </c>
      <c r="C5" s="13"/>
      <c r="D5" s="13"/>
      <c r="E5" s="14"/>
      <c r="F5" s="15"/>
      <c r="G5" s="240"/>
      <c r="H5" s="241"/>
      <c r="I5" s="242"/>
    </row>
    <row r="6" spans="1:9" ht="12" customHeight="1" x14ac:dyDescent="0.2">
      <c r="A6" s="239"/>
      <c r="B6" s="4"/>
      <c r="C6" s="5" t="s">
        <v>2</v>
      </c>
      <c r="D6" s="6" t="s">
        <v>3</v>
      </c>
      <c r="E6" s="7"/>
      <c r="F6" s="7"/>
      <c r="G6" s="8"/>
      <c r="H6" s="241"/>
      <c r="I6" s="242"/>
    </row>
    <row r="7" spans="1:9" x14ac:dyDescent="0.2">
      <c r="A7" s="239"/>
      <c r="B7" s="9"/>
      <c r="C7" s="10"/>
      <c r="D7" s="10"/>
      <c r="E7" s="11" t="s">
        <v>4</v>
      </c>
      <c r="F7" s="10"/>
      <c r="G7" s="12"/>
      <c r="H7" s="13"/>
      <c r="I7" s="242"/>
    </row>
    <row r="8" spans="1:9" x14ac:dyDescent="0.2">
      <c r="A8" s="239"/>
      <c r="B8" s="13"/>
      <c r="C8" s="13"/>
      <c r="D8" s="13"/>
      <c r="E8" s="14"/>
      <c r="F8" s="15"/>
      <c r="G8" s="13"/>
      <c r="H8" s="13"/>
      <c r="I8" s="242"/>
    </row>
    <row r="9" spans="1:9" x14ac:dyDescent="0.2">
      <c r="A9" s="239"/>
      <c r="B9" s="13"/>
      <c r="C9" s="243" t="s">
        <v>6</v>
      </c>
      <c r="D9" s="13"/>
      <c r="E9" s="13"/>
      <c r="F9" s="15"/>
      <c r="G9" s="13"/>
      <c r="H9" s="13"/>
      <c r="I9" s="242"/>
    </row>
    <row r="10" spans="1:9" x14ac:dyDescent="0.2">
      <c r="A10" s="239"/>
      <c r="B10" s="13"/>
      <c r="C10" s="13" t="s">
        <v>7</v>
      </c>
      <c r="D10" s="13"/>
      <c r="E10" s="13"/>
      <c r="F10" s="19">
        <v>248000</v>
      </c>
      <c r="G10" s="13"/>
      <c r="H10" s="13" t="s">
        <v>76</v>
      </c>
      <c r="I10" s="242"/>
    </row>
    <row r="11" spans="1:9" x14ac:dyDescent="0.2">
      <c r="A11" s="239"/>
      <c r="B11" s="13"/>
      <c r="C11" s="13" t="s">
        <v>8</v>
      </c>
      <c r="D11" s="13"/>
      <c r="E11" s="13"/>
      <c r="F11" s="19">
        <v>74000</v>
      </c>
      <c r="G11" s="13"/>
      <c r="H11" s="13" t="s">
        <v>76</v>
      </c>
      <c r="I11" s="242"/>
    </row>
    <row r="12" spans="1:9" x14ac:dyDescent="0.2">
      <c r="A12" s="239"/>
      <c r="B12" s="13"/>
      <c r="C12" s="13" t="s">
        <v>233</v>
      </c>
      <c r="D12" s="13"/>
      <c r="E12" s="13"/>
      <c r="F12" s="19">
        <f>'Ex 4 Direct Cost Sch'!K8</f>
        <v>16100</v>
      </c>
      <c r="G12" s="13"/>
      <c r="H12" s="13" t="s">
        <v>77</v>
      </c>
      <c r="I12" s="242"/>
    </row>
    <row r="13" spans="1:9" x14ac:dyDescent="0.2">
      <c r="A13" s="239"/>
      <c r="B13" s="13"/>
      <c r="C13" s="13" t="s">
        <v>11</v>
      </c>
      <c r="D13" s="13"/>
      <c r="E13" s="13"/>
      <c r="F13" s="19">
        <f>'Ex 4 Direct Cost Sch'!K17</f>
        <v>69500</v>
      </c>
      <c r="G13" s="13"/>
      <c r="H13" s="13" t="s">
        <v>77</v>
      </c>
      <c r="I13" s="242"/>
    </row>
    <row r="14" spans="1:9" x14ac:dyDescent="0.2">
      <c r="A14" s="239"/>
      <c r="B14" s="13"/>
      <c r="C14" s="13" t="s">
        <v>9</v>
      </c>
      <c r="D14" s="13"/>
      <c r="E14" s="13"/>
      <c r="F14" s="19">
        <f>'Ex 4 Direct Cost Sch'!K27</f>
        <v>121600</v>
      </c>
      <c r="G14" s="13"/>
      <c r="H14" s="13" t="s">
        <v>77</v>
      </c>
      <c r="I14" s="242"/>
    </row>
    <row r="15" spans="1:9" x14ac:dyDescent="0.2">
      <c r="A15" s="239"/>
      <c r="B15" s="13"/>
      <c r="C15" s="13" t="s">
        <v>241</v>
      </c>
      <c r="D15" s="13"/>
      <c r="E15" s="13"/>
      <c r="F15" s="19">
        <f>'Ex 4 Direct Cost Sch'!K37</f>
        <v>124500</v>
      </c>
      <c r="G15" s="13"/>
      <c r="H15" s="13" t="s">
        <v>77</v>
      </c>
      <c r="I15" s="242"/>
    </row>
    <row r="16" spans="1:9" x14ac:dyDescent="0.2">
      <c r="A16" s="239"/>
      <c r="B16" s="13"/>
      <c r="C16" s="13" t="s">
        <v>240</v>
      </c>
      <c r="D16" s="13"/>
      <c r="E16" s="13"/>
      <c r="F16" s="19">
        <f>'Ex 4 Direct Cost Sch'!K42</f>
        <v>40400</v>
      </c>
      <c r="G16" s="13"/>
      <c r="H16" s="13" t="s">
        <v>77</v>
      </c>
      <c r="I16" s="242"/>
    </row>
    <row r="17" spans="1:9" x14ac:dyDescent="0.2">
      <c r="A17" s="239"/>
      <c r="B17" s="13"/>
      <c r="C17" s="13" t="s">
        <v>10</v>
      </c>
      <c r="D17" s="13"/>
      <c r="E17" s="13"/>
      <c r="F17" s="19">
        <f>+'Ex 5 Equip Depr Sch'!L13+'Ex 5 Equip Depr Sch'!L27</f>
        <v>17259.224500000004</v>
      </c>
      <c r="G17" s="13"/>
      <c r="H17" s="13" t="s">
        <v>78</v>
      </c>
      <c r="I17" s="242"/>
    </row>
    <row r="18" spans="1:9" x14ac:dyDescent="0.2">
      <c r="A18" s="239"/>
      <c r="B18" s="13"/>
      <c r="C18" s="13" t="s">
        <v>12</v>
      </c>
      <c r="D18" s="13"/>
      <c r="E18" s="13"/>
      <c r="F18" s="19">
        <v>0</v>
      </c>
      <c r="G18" s="13"/>
      <c r="H18" s="13" t="s">
        <v>77</v>
      </c>
      <c r="I18" s="242"/>
    </row>
    <row r="19" spans="1:9" x14ac:dyDescent="0.2">
      <c r="A19" s="239"/>
      <c r="B19" s="13"/>
      <c r="C19" s="13" t="s">
        <v>13</v>
      </c>
      <c r="D19" s="13"/>
      <c r="E19" s="13"/>
      <c r="F19" s="17">
        <v>-1900</v>
      </c>
      <c r="G19" s="13"/>
      <c r="H19" s="13"/>
      <c r="I19" s="242"/>
    </row>
    <row r="20" spans="1:9" ht="15" thickBot="1" x14ac:dyDescent="0.25">
      <c r="A20" s="239"/>
      <c r="B20" s="13"/>
      <c r="C20" s="13"/>
      <c r="D20" s="13"/>
      <c r="E20" s="240" t="s">
        <v>14</v>
      </c>
      <c r="F20" s="218">
        <f>SUM(F10:F19)</f>
        <v>709459.22450000001</v>
      </c>
      <c r="G20" s="13" t="s">
        <v>15</v>
      </c>
      <c r="H20" s="13"/>
      <c r="I20" s="242"/>
    </row>
    <row r="21" spans="1:9" ht="15" thickTop="1" x14ac:dyDescent="0.2">
      <c r="A21" s="9"/>
      <c r="B21" s="10"/>
      <c r="C21" s="10"/>
      <c r="D21" s="10"/>
      <c r="E21" s="10"/>
      <c r="F21" s="244"/>
      <c r="G21" s="10"/>
      <c r="H21" s="10"/>
      <c r="I21" s="245"/>
    </row>
    <row r="22" spans="1:9" ht="16" x14ac:dyDescent="0.2">
      <c r="A22" s="274" t="s">
        <v>267</v>
      </c>
      <c r="B22" s="275" t="s">
        <v>265</v>
      </c>
      <c r="C22" s="276"/>
      <c r="D22" s="276"/>
      <c r="E22" s="276"/>
      <c r="F22" s="277"/>
      <c r="G22" s="276"/>
      <c r="H22" s="276"/>
      <c r="I22" s="278"/>
    </row>
    <row r="23" spans="1:9" ht="16" x14ac:dyDescent="0.2">
      <c r="A23" s="239"/>
      <c r="B23" s="16"/>
      <c r="C23" s="13"/>
      <c r="D23" s="13"/>
      <c r="E23" s="13"/>
      <c r="F23" s="15"/>
      <c r="G23" s="13"/>
      <c r="H23" s="13"/>
      <c r="I23" s="242"/>
    </row>
    <row r="24" spans="1:9" x14ac:dyDescent="0.2">
      <c r="A24" s="239"/>
      <c r="B24" s="13" t="s">
        <v>5</v>
      </c>
      <c r="C24" s="13"/>
      <c r="D24" s="13"/>
      <c r="E24" s="13"/>
      <c r="F24" s="15"/>
      <c r="G24" s="13"/>
      <c r="H24" s="13"/>
      <c r="I24" s="242"/>
    </row>
    <row r="25" spans="1:9" x14ac:dyDescent="0.2">
      <c r="A25" s="239"/>
      <c r="B25" s="13" t="s">
        <v>295</v>
      </c>
      <c r="C25" s="13"/>
      <c r="D25" s="13"/>
      <c r="E25" s="13"/>
      <c r="F25" s="15"/>
      <c r="G25" s="13"/>
      <c r="H25" s="13"/>
      <c r="I25" s="242"/>
    </row>
    <row r="26" spans="1:9" x14ac:dyDescent="0.2">
      <c r="A26" s="246"/>
      <c r="B26" s="13"/>
      <c r="C26" s="13"/>
      <c r="D26" s="13"/>
      <c r="E26" s="13"/>
      <c r="F26" s="15"/>
      <c r="G26" s="13"/>
      <c r="H26" s="13"/>
      <c r="I26" s="242"/>
    </row>
    <row r="27" spans="1:9" ht="16" x14ac:dyDescent="0.2">
      <c r="A27" s="247" t="s">
        <v>16</v>
      </c>
      <c r="B27" s="16" t="s">
        <v>17</v>
      </c>
      <c r="C27" s="16"/>
      <c r="D27" s="13"/>
      <c r="E27" s="13"/>
      <c r="F27" s="15"/>
      <c r="G27" s="13"/>
      <c r="H27" s="13"/>
      <c r="I27" s="242"/>
    </row>
    <row r="28" spans="1:9" ht="13" customHeight="1" x14ac:dyDescent="0.2">
      <c r="A28" s="248"/>
      <c r="B28" s="13"/>
      <c r="C28" s="13"/>
      <c r="D28" s="13"/>
      <c r="E28" s="13"/>
      <c r="F28" s="15"/>
      <c r="G28" s="13"/>
      <c r="H28" s="13"/>
      <c r="I28" s="242"/>
    </row>
    <row r="29" spans="1:9" ht="13" customHeight="1" x14ac:dyDescent="0.2">
      <c r="A29" s="248"/>
      <c r="B29" s="13" t="s">
        <v>18</v>
      </c>
      <c r="C29" s="13"/>
      <c r="D29" s="13"/>
      <c r="E29" s="13"/>
      <c r="F29" s="15"/>
      <c r="G29" s="13"/>
      <c r="H29" s="13"/>
      <c r="I29" s="242"/>
    </row>
    <row r="30" spans="1:9" ht="13" customHeight="1" x14ac:dyDescent="0.2">
      <c r="A30" s="248"/>
      <c r="B30" s="13" t="s">
        <v>19</v>
      </c>
      <c r="C30" s="13"/>
      <c r="D30" s="13"/>
      <c r="E30" s="13"/>
      <c r="F30" s="15"/>
      <c r="G30" s="13"/>
      <c r="H30" s="13"/>
      <c r="I30" s="242"/>
    </row>
    <row r="31" spans="1:9" ht="13" customHeight="1" x14ac:dyDescent="0.2">
      <c r="A31" s="239"/>
      <c r="B31" s="16"/>
      <c r="C31" s="13"/>
      <c r="D31" s="13"/>
      <c r="E31" s="13"/>
      <c r="F31" s="15"/>
      <c r="G31" s="13"/>
      <c r="H31" s="13"/>
      <c r="I31" s="242"/>
    </row>
    <row r="32" spans="1:9" ht="12" customHeight="1" x14ac:dyDescent="0.2">
      <c r="A32" s="239"/>
      <c r="B32" s="13" t="s">
        <v>20</v>
      </c>
      <c r="C32" s="13"/>
      <c r="D32" s="13"/>
      <c r="E32" s="13"/>
      <c r="F32" s="15"/>
      <c r="G32" s="13"/>
      <c r="H32" s="13"/>
      <c r="I32" s="242"/>
    </row>
    <row r="33" spans="1:9" ht="13" customHeight="1" x14ac:dyDescent="0.2">
      <c r="A33" s="239"/>
      <c r="B33" s="13"/>
      <c r="C33" s="13"/>
      <c r="D33" s="13"/>
      <c r="E33" s="13"/>
      <c r="F33" s="15"/>
      <c r="G33" s="13"/>
      <c r="H33" s="13"/>
      <c r="I33" s="242"/>
    </row>
    <row r="34" spans="1:9" ht="13" customHeight="1" x14ac:dyDescent="0.2">
      <c r="A34" s="239"/>
      <c r="B34" s="20"/>
      <c r="C34" s="13"/>
      <c r="D34" s="13"/>
      <c r="E34" s="13"/>
      <c r="F34" s="15"/>
      <c r="G34" s="13"/>
      <c r="H34" s="13"/>
      <c r="I34" s="242"/>
    </row>
    <row r="35" spans="1:9" ht="13" customHeight="1" x14ac:dyDescent="0.2">
      <c r="A35" s="239"/>
      <c r="B35" s="249"/>
      <c r="C35" s="13" t="s">
        <v>21</v>
      </c>
      <c r="D35" s="13"/>
      <c r="E35" s="13"/>
      <c r="F35" s="15"/>
      <c r="G35" s="13"/>
      <c r="H35" s="13"/>
      <c r="I35" s="242"/>
    </row>
    <row r="36" spans="1:9" x14ac:dyDescent="0.2">
      <c r="A36" s="239"/>
      <c r="B36" s="13"/>
      <c r="C36" s="249"/>
      <c r="D36" s="13" t="s">
        <v>22</v>
      </c>
      <c r="E36" s="13"/>
      <c r="F36" s="19">
        <f>37.5*52</f>
        <v>1950</v>
      </c>
      <c r="G36" s="13"/>
      <c r="H36" s="13"/>
      <c r="I36" s="242"/>
    </row>
    <row r="37" spans="1:9" x14ac:dyDescent="0.2">
      <c r="A37" s="239"/>
      <c r="B37" s="13"/>
      <c r="C37" s="13"/>
      <c r="D37" s="13"/>
      <c r="E37" s="13"/>
      <c r="F37" s="19"/>
      <c r="G37" s="13"/>
      <c r="H37" s="13"/>
      <c r="I37" s="242"/>
    </row>
    <row r="38" spans="1:9" x14ac:dyDescent="0.2">
      <c r="A38" s="239"/>
      <c r="B38" s="249"/>
      <c r="C38" s="13" t="s">
        <v>23</v>
      </c>
      <c r="D38" s="13"/>
      <c r="E38" s="13"/>
      <c r="F38" s="19"/>
      <c r="G38" s="13"/>
      <c r="H38" s="13"/>
      <c r="I38" s="242"/>
    </row>
    <row r="39" spans="1:9" x14ac:dyDescent="0.2">
      <c r="A39" s="239"/>
      <c r="B39" s="13"/>
      <c r="C39" s="249"/>
      <c r="D39" s="13" t="s">
        <v>24</v>
      </c>
      <c r="E39" s="13"/>
      <c r="F39" s="19">
        <f>-(15*7.5)</f>
        <v>-112.5</v>
      </c>
      <c r="G39" s="13"/>
      <c r="H39" s="13"/>
      <c r="I39" s="242"/>
    </row>
    <row r="40" spans="1:9" x14ac:dyDescent="0.2">
      <c r="A40" s="239"/>
      <c r="B40" s="13"/>
      <c r="C40" s="249"/>
      <c r="D40" s="13" t="s">
        <v>25</v>
      </c>
      <c r="E40" s="13"/>
      <c r="F40" s="19">
        <f>-(7*7.5)</f>
        <v>-52.5</v>
      </c>
      <c r="G40" s="13"/>
      <c r="H40" s="13"/>
      <c r="I40" s="242"/>
    </row>
    <row r="41" spans="1:9" x14ac:dyDescent="0.2">
      <c r="A41" s="239"/>
      <c r="B41" s="13"/>
      <c r="C41" s="249"/>
      <c r="D41" s="13" t="s">
        <v>26</v>
      </c>
      <c r="E41" s="13"/>
      <c r="F41" s="19">
        <f>-(11*7.5)</f>
        <v>-82.5</v>
      </c>
      <c r="G41" s="13"/>
      <c r="H41" s="13"/>
      <c r="I41" s="242"/>
    </row>
    <row r="42" spans="1:9" x14ac:dyDescent="0.2">
      <c r="A42" s="239"/>
      <c r="B42" s="13"/>
      <c r="C42" s="249"/>
      <c r="D42" s="13" t="s">
        <v>27</v>
      </c>
      <c r="E42" s="13"/>
      <c r="F42" s="17">
        <f>-(261-15-7-11) *1</f>
        <v>-228</v>
      </c>
      <c r="G42" s="13" t="s">
        <v>28</v>
      </c>
      <c r="H42" s="13"/>
      <c r="I42" s="242"/>
    </row>
    <row r="43" spans="1:9" ht="15" thickBot="1" x14ac:dyDescent="0.25">
      <c r="A43" s="239"/>
      <c r="B43" s="13"/>
      <c r="C43" s="13"/>
      <c r="D43" s="13"/>
      <c r="E43" s="250" t="s">
        <v>29</v>
      </c>
      <c r="F43" s="18">
        <f>SUM(F36:F42)</f>
        <v>1474.5</v>
      </c>
      <c r="G43" s="13" t="s">
        <v>30</v>
      </c>
      <c r="H43" s="13"/>
      <c r="I43" s="242"/>
    </row>
    <row r="44" spans="1:9" ht="15" thickTop="1" x14ac:dyDescent="0.2">
      <c r="A44" s="239"/>
      <c r="B44" s="13"/>
      <c r="C44" s="13"/>
      <c r="D44" s="13"/>
      <c r="E44" s="13"/>
      <c r="F44" s="19"/>
      <c r="G44" s="13"/>
      <c r="H44" s="13"/>
      <c r="I44" s="242"/>
    </row>
    <row r="45" spans="1:9" x14ac:dyDescent="0.2">
      <c r="A45" s="239"/>
      <c r="B45" s="13" t="s">
        <v>31</v>
      </c>
      <c r="C45" s="13"/>
      <c r="D45" s="13"/>
      <c r="E45" s="13"/>
      <c r="F45" s="19"/>
      <c r="G45" s="13"/>
      <c r="H45" s="13"/>
      <c r="I45" s="242"/>
    </row>
    <row r="46" spans="1:9" ht="15" thickBot="1" x14ac:dyDescent="0.25">
      <c r="A46" s="239"/>
      <c r="B46" s="13"/>
      <c r="C46" s="13"/>
      <c r="D46" s="13" t="s">
        <v>32</v>
      </c>
      <c r="E46" s="13"/>
      <c r="F46" s="18">
        <v>2950</v>
      </c>
      <c r="G46" s="13" t="s">
        <v>33</v>
      </c>
      <c r="H46" s="13"/>
      <c r="I46" s="242"/>
    </row>
    <row r="47" spans="1:9" ht="15" thickTop="1" x14ac:dyDescent="0.2">
      <c r="A47" s="239"/>
      <c r="B47" s="13"/>
      <c r="C47" s="13"/>
      <c r="D47" s="13"/>
      <c r="E47" s="13"/>
      <c r="F47" s="15"/>
      <c r="G47" s="13"/>
      <c r="H47" s="13"/>
      <c r="I47" s="242"/>
    </row>
    <row r="48" spans="1:9" ht="15" thickBot="1" x14ac:dyDescent="0.25">
      <c r="A48" s="239"/>
      <c r="B48" s="13"/>
      <c r="C48" s="13" t="s">
        <v>2</v>
      </c>
      <c r="D48" s="20" t="s">
        <v>34</v>
      </c>
      <c r="E48" s="20"/>
      <c r="F48" s="21">
        <f>F20</f>
        <v>709459.22450000001</v>
      </c>
      <c r="G48" s="214">
        <f>F48/F49</f>
        <v>240.49465237288135</v>
      </c>
      <c r="H48" s="13" t="s">
        <v>250</v>
      </c>
      <c r="I48" s="251"/>
    </row>
    <row r="49" spans="1:9" ht="15" thickTop="1" x14ac:dyDescent="0.2">
      <c r="A49" s="239"/>
      <c r="B49" s="13"/>
      <c r="C49" s="13"/>
      <c r="D49" s="13" t="s">
        <v>35</v>
      </c>
      <c r="E49" s="13"/>
      <c r="F49" s="19">
        <f>F46</f>
        <v>2950</v>
      </c>
      <c r="G49" s="13"/>
      <c r="H49" s="13"/>
      <c r="I49" s="242"/>
    </row>
    <row r="50" spans="1:9" x14ac:dyDescent="0.2">
      <c r="A50" s="239"/>
      <c r="B50" s="13"/>
      <c r="C50" s="13"/>
      <c r="D50" s="13"/>
      <c r="E50" s="13"/>
      <c r="F50" s="19"/>
      <c r="G50" s="13"/>
      <c r="H50" s="13"/>
      <c r="I50" s="242"/>
    </row>
    <row r="51" spans="1:9" x14ac:dyDescent="0.2">
      <c r="A51" s="239"/>
      <c r="B51" s="13" t="s">
        <v>36</v>
      </c>
      <c r="C51" s="13"/>
      <c r="D51" s="13"/>
      <c r="E51" s="13"/>
      <c r="F51" s="19"/>
      <c r="G51" s="13"/>
      <c r="H51" s="13"/>
      <c r="I51" s="242"/>
    </row>
    <row r="52" spans="1:9" x14ac:dyDescent="0.2">
      <c r="A52" s="239"/>
      <c r="B52" s="13" t="s">
        <v>37</v>
      </c>
      <c r="C52" s="13"/>
      <c r="D52" s="13"/>
      <c r="E52" s="13"/>
      <c r="F52" s="19"/>
      <c r="G52" s="13"/>
      <c r="H52" s="13"/>
      <c r="I52" s="242"/>
    </row>
    <row r="53" spans="1:9" x14ac:dyDescent="0.2">
      <c r="A53" s="239"/>
      <c r="B53" s="13"/>
      <c r="C53" s="13"/>
      <c r="D53" s="13"/>
      <c r="E53" s="13"/>
      <c r="F53" s="15"/>
      <c r="G53" s="252"/>
      <c r="H53" s="13"/>
      <c r="I53" s="242"/>
    </row>
    <row r="54" spans="1:9" ht="16" x14ac:dyDescent="0.2">
      <c r="A54" s="247" t="s">
        <v>38</v>
      </c>
      <c r="B54" s="16" t="s">
        <v>39</v>
      </c>
      <c r="C54" s="13"/>
      <c r="D54" s="13"/>
      <c r="E54" s="13"/>
      <c r="F54" s="15"/>
      <c r="G54" s="13"/>
      <c r="H54" s="13"/>
      <c r="I54" s="242"/>
    </row>
    <row r="55" spans="1:9" ht="13" customHeight="1" x14ac:dyDescent="0.2">
      <c r="A55" s="248"/>
      <c r="B55" s="13"/>
      <c r="C55" s="13"/>
      <c r="D55" s="13"/>
      <c r="E55" s="13"/>
      <c r="F55" s="15"/>
      <c r="G55" s="13"/>
      <c r="H55" s="13"/>
      <c r="I55" s="242"/>
    </row>
    <row r="56" spans="1:9" ht="13" customHeight="1" x14ac:dyDescent="0.2">
      <c r="A56" s="248"/>
      <c r="B56" s="13" t="s">
        <v>40</v>
      </c>
      <c r="C56" s="13"/>
      <c r="D56" s="13"/>
      <c r="E56" s="13"/>
      <c r="F56" s="15"/>
      <c r="G56" s="13"/>
      <c r="H56" s="13"/>
      <c r="I56" s="242"/>
    </row>
    <row r="57" spans="1:9" ht="13" customHeight="1" x14ac:dyDescent="0.2">
      <c r="A57" s="239"/>
      <c r="B57" s="240"/>
      <c r="C57" s="13"/>
      <c r="D57" s="13"/>
      <c r="E57" s="13"/>
      <c r="F57" s="15"/>
      <c r="G57" s="13"/>
      <c r="H57" s="13"/>
      <c r="I57" s="242"/>
    </row>
    <row r="58" spans="1:9" ht="13" customHeight="1" x14ac:dyDescent="0.2">
      <c r="A58" s="239"/>
      <c r="B58" s="13" t="s">
        <v>294</v>
      </c>
      <c r="C58" s="13"/>
      <c r="D58" s="13"/>
      <c r="E58" s="13"/>
      <c r="F58" s="15"/>
      <c r="G58" s="13"/>
      <c r="H58" s="13"/>
      <c r="I58" s="242"/>
    </row>
    <row r="59" spans="1:9" x14ac:dyDescent="0.2">
      <c r="A59" s="239"/>
      <c r="B59" s="13" t="s">
        <v>293</v>
      </c>
      <c r="C59" s="13"/>
      <c r="D59" s="13"/>
      <c r="E59" s="13"/>
      <c r="F59" s="13"/>
      <c r="G59" s="13"/>
      <c r="H59" s="13"/>
      <c r="I59" s="242"/>
    </row>
    <row r="60" spans="1:9" x14ac:dyDescent="0.2">
      <c r="A60" s="239"/>
      <c r="B60" s="13"/>
      <c r="C60" s="13"/>
      <c r="D60" s="13"/>
      <c r="E60" s="13"/>
      <c r="F60" s="13"/>
      <c r="G60" s="13"/>
      <c r="H60" s="13"/>
      <c r="I60" s="242"/>
    </row>
    <row r="61" spans="1:9" x14ac:dyDescent="0.2">
      <c r="A61" s="239"/>
      <c r="B61" s="13" t="s">
        <v>41</v>
      </c>
      <c r="C61" s="13"/>
      <c r="D61" s="13"/>
      <c r="E61" s="13"/>
      <c r="F61" s="13"/>
      <c r="G61" s="13"/>
      <c r="H61" s="13"/>
      <c r="I61" s="242"/>
    </row>
    <row r="62" spans="1:9" x14ac:dyDescent="0.2">
      <c r="A62" s="239"/>
      <c r="B62" s="13"/>
      <c r="C62" s="13"/>
      <c r="D62" s="13"/>
      <c r="E62" s="13"/>
      <c r="F62" s="13"/>
      <c r="G62" s="13"/>
      <c r="H62" s="13"/>
      <c r="I62" s="242"/>
    </row>
    <row r="63" spans="1:9" ht="15" thickBot="1" x14ac:dyDescent="0.25">
      <c r="A63" s="239"/>
      <c r="B63" s="13"/>
      <c r="C63" s="13" t="s">
        <v>42</v>
      </c>
      <c r="D63" s="20" t="s">
        <v>43</v>
      </c>
      <c r="E63" s="13"/>
      <c r="F63" s="21">
        <f>F20</f>
        <v>709459.22450000001</v>
      </c>
      <c r="G63" s="214">
        <f>F63/F64</f>
        <v>141.8918449</v>
      </c>
      <c r="H63" s="13" t="s">
        <v>251</v>
      </c>
      <c r="I63" s="242"/>
    </row>
    <row r="64" spans="1:9" ht="15" thickTop="1" x14ac:dyDescent="0.2">
      <c r="A64" s="239"/>
      <c r="B64" s="13"/>
      <c r="C64" s="13"/>
      <c r="D64" s="13" t="s">
        <v>263</v>
      </c>
      <c r="E64" s="13"/>
      <c r="F64" s="19">
        <v>5000</v>
      </c>
      <c r="G64" s="13"/>
      <c r="H64" s="13"/>
      <c r="I64" s="242"/>
    </row>
    <row r="65" spans="1:9" x14ac:dyDescent="0.2">
      <c r="A65" s="239"/>
      <c r="B65" s="13"/>
      <c r="C65" s="13"/>
      <c r="D65" s="13"/>
      <c r="E65" s="13"/>
      <c r="F65" s="19"/>
      <c r="G65" s="22"/>
      <c r="H65" s="13"/>
      <c r="I65" s="242"/>
    </row>
    <row r="66" spans="1:9" ht="16" x14ac:dyDescent="0.2">
      <c r="A66" s="247" t="s">
        <v>44</v>
      </c>
      <c r="B66" s="16" t="s">
        <v>45</v>
      </c>
      <c r="C66" s="13"/>
      <c r="D66" s="13"/>
      <c r="E66" s="13"/>
      <c r="F66" s="15"/>
      <c r="G66" s="252"/>
      <c r="H66" s="13"/>
      <c r="I66" s="242"/>
    </row>
    <row r="67" spans="1:9" x14ac:dyDescent="0.2">
      <c r="A67" s="239"/>
      <c r="B67" s="249"/>
      <c r="C67" s="13"/>
      <c r="D67" s="13"/>
      <c r="E67" s="13"/>
      <c r="F67" s="15"/>
      <c r="G67" s="13"/>
      <c r="H67" s="13"/>
      <c r="I67" s="242"/>
    </row>
    <row r="68" spans="1:9" x14ac:dyDescent="0.2">
      <c r="A68" s="239"/>
      <c r="B68" s="13" t="s">
        <v>46</v>
      </c>
      <c r="C68" s="13"/>
      <c r="D68" s="13"/>
      <c r="E68" s="13"/>
      <c r="F68" s="15"/>
      <c r="G68" s="13"/>
      <c r="H68" s="13"/>
      <c r="I68" s="242"/>
    </row>
    <row r="69" spans="1:9" x14ac:dyDescent="0.2">
      <c r="A69" s="239"/>
      <c r="B69" s="13" t="s">
        <v>47</v>
      </c>
      <c r="C69" s="13"/>
      <c r="D69" s="13"/>
      <c r="E69" s="13"/>
      <c r="F69" s="15"/>
      <c r="G69" s="13"/>
      <c r="H69" s="13"/>
      <c r="I69" s="242"/>
    </row>
    <row r="70" spans="1:9" x14ac:dyDescent="0.2">
      <c r="A70" s="239"/>
      <c r="B70" s="13" t="s">
        <v>48</v>
      </c>
      <c r="C70" s="13"/>
      <c r="D70" s="13"/>
      <c r="E70" s="13"/>
      <c r="F70" s="15"/>
      <c r="G70" s="13"/>
      <c r="H70" s="13"/>
      <c r="I70" s="242"/>
    </row>
    <row r="71" spans="1:9" x14ac:dyDescent="0.2">
      <c r="A71" s="239"/>
      <c r="B71" s="13" t="s">
        <v>49</v>
      </c>
      <c r="C71" s="13"/>
      <c r="D71" s="13"/>
      <c r="E71" s="13"/>
      <c r="F71" s="15"/>
      <c r="G71" s="13"/>
      <c r="H71" s="13"/>
      <c r="I71" s="242"/>
    </row>
    <row r="72" spans="1:9" x14ac:dyDescent="0.2">
      <c r="A72" s="239"/>
      <c r="B72" s="240"/>
      <c r="C72" s="13"/>
      <c r="D72" s="13"/>
      <c r="E72" s="13"/>
      <c r="F72" s="15"/>
      <c r="G72" s="13"/>
      <c r="H72" s="13"/>
      <c r="I72" s="242"/>
    </row>
    <row r="73" spans="1:9" x14ac:dyDescent="0.2">
      <c r="A73" s="239"/>
      <c r="B73" s="13" t="s">
        <v>50</v>
      </c>
      <c r="C73" s="13"/>
      <c r="D73" s="13"/>
      <c r="E73" s="13"/>
      <c r="F73" s="15"/>
      <c r="G73" s="13"/>
      <c r="H73" s="13"/>
      <c r="I73" s="242"/>
    </row>
    <row r="74" spans="1:9" x14ac:dyDescent="0.2">
      <c r="A74" s="239"/>
      <c r="B74" s="13"/>
      <c r="C74" s="13"/>
      <c r="D74" s="13"/>
      <c r="E74" s="13"/>
      <c r="F74" s="15"/>
      <c r="G74" s="13"/>
      <c r="H74" s="13"/>
      <c r="I74" s="242"/>
    </row>
    <row r="75" spans="1:9" x14ac:dyDescent="0.2">
      <c r="A75" s="239"/>
      <c r="B75" s="13" t="s">
        <v>51</v>
      </c>
      <c r="C75" s="13"/>
      <c r="D75" s="13"/>
      <c r="E75" s="13"/>
      <c r="F75" s="15"/>
      <c r="G75" s="13"/>
      <c r="H75" s="13"/>
      <c r="I75" s="242"/>
    </row>
    <row r="76" spans="1:9" x14ac:dyDescent="0.2">
      <c r="A76" s="239"/>
      <c r="B76" s="13"/>
      <c r="C76" s="13"/>
      <c r="D76" s="13"/>
      <c r="E76" s="13"/>
      <c r="F76" s="15"/>
      <c r="G76" s="13"/>
      <c r="H76" s="13"/>
      <c r="I76" s="242"/>
    </row>
    <row r="77" spans="1:9" x14ac:dyDescent="0.2">
      <c r="A77" s="239"/>
      <c r="B77" s="13"/>
      <c r="C77" s="13"/>
      <c r="D77" s="13" t="s">
        <v>252</v>
      </c>
      <c r="E77" s="13"/>
      <c r="F77" s="17">
        <f>F14-16600</f>
        <v>105000</v>
      </c>
      <c r="G77" s="13"/>
      <c r="H77" s="13"/>
      <c r="I77" s="242"/>
    </row>
    <row r="78" spans="1:9" ht="15" thickBot="1" x14ac:dyDescent="0.25">
      <c r="A78" s="239"/>
      <c r="B78" s="13"/>
      <c r="C78" s="13"/>
      <c r="D78" s="13"/>
      <c r="E78" s="250" t="s">
        <v>52</v>
      </c>
      <c r="F78" s="26">
        <f>SUM(F77:F77)</f>
        <v>105000</v>
      </c>
      <c r="G78" s="13"/>
      <c r="H78" s="13"/>
      <c r="I78" s="242"/>
    </row>
    <row r="79" spans="1:9" ht="15" thickTop="1" x14ac:dyDescent="0.2">
      <c r="A79" s="239"/>
      <c r="B79" s="13"/>
      <c r="C79" s="13"/>
      <c r="D79" s="13"/>
      <c r="E79" s="13"/>
      <c r="F79" s="23"/>
      <c r="G79" s="13"/>
      <c r="H79" s="13"/>
      <c r="I79" s="242"/>
    </row>
    <row r="80" spans="1:9" x14ac:dyDescent="0.2">
      <c r="A80" s="239"/>
      <c r="B80" s="13" t="s">
        <v>53</v>
      </c>
      <c r="C80" s="13"/>
      <c r="D80" s="13"/>
      <c r="E80" s="13"/>
      <c r="F80" s="15"/>
      <c r="G80" s="13"/>
      <c r="H80" s="13"/>
      <c r="I80" s="242"/>
    </row>
    <row r="81" spans="1:9" x14ac:dyDescent="0.2">
      <c r="A81" s="239"/>
      <c r="B81" s="20"/>
      <c r="C81" s="13"/>
      <c r="D81" s="13"/>
      <c r="E81" s="13"/>
      <c r="F81" s="15"/>
      <c r="G81" s="13"/>
      <c r="H81" s="13"/>
      <c r="I81" s="242"/>
    </row>
    <row r="82" spans="1:9" x14ac:dyDescent="0.2">
      <c r="A82" s="239"/>
      <c r="B82" s="13"/>
      <c r="C82" s="13"/>
      <c r="D82" s="13" t="s">
        <v>7</v>
      </c>
      <c r="E82" s="13"/>
      <c r="F82" s="19">
        <f>+F10</f>
        <v>248000</v>
      </c>
      <c r="G82" s="13"/>
      <c r="H82" s="13"/>
      <c r="I82" s="242"/>
    </row>
    <row r="83" spans="1:9" x14ac:dyDescent="0.2">
      <c r="A83" s="239"/>
      <c r="B83" s="13"/>
      <c r="C83" s="13"/>
      <c r="D83" s="13" t="s">
        <v>8</v>
      </c>
      <c r="E83" s="13"/>
      <c r="F83" s="19">
        <f>+F11</f>
        <v>74000</v>
      </c>
      <c r="G83" s="13"/>
      <c r="H83" s="13"/>
      <c r="I83" s="242"/>
    </row>
    <row r="84" spans="1:9" x14ac:dyDescent="0.2">
      <c r="A84" s="239"/>
      <c r="B84" s="13"/>
      <c r="C84" s="13"/>
      <c r="D84" s="13" t="s">
        <v>233</v>
      </c>
      <c r="E84" s="13"/>
      <c r="F84" s="19">
        <v>16100</v>
      </c>
      <c r="G84" s="13"/>
      <c r="H84" s="13"/>
      <c r="I84" s="242"/>
    </row>
    <row r="85" spans="1:9" x14ac:dyDescent="0.2">
      <c r="A85" s="239"/>
      <c r="B85" s="13"/>
      <c r="C85" s="13"/>
      <c r="D85" s="13" t="s">
        <v>11</v>
      </c>
      <c r="E85" s="13"/>
      <c r="F85" s="19">
        <v>69500</v>
      </c>
      <c r="G85" s="13"/>
      <c r="H85" s="13"/>
      <c r="I85" s="242"/>
    </row>
    <row r="86" spans="1:9" x14ac:dyDescent="0.2">
      <c r="A86" s="239"/>
      <c r="B86" s="13"/>
      <c r="C86" s="13"/>
      <c r="D86" s="13" t="s">
        <v>9</v>
      </c>
      <c r="E86" s="13"/>
      <c r="F86" s="19">
        <v>16600</v>
      </c>
      <c r="G86" s="13"/>
      <c r="H86" s="13"/>
      <c r="I86" s="242"/>
    </row>
    <row r="87" spans="1:9" x14ac:dyDescent="0.2">
      <c r="A87" s="239"/>
      <c r="B87" s="13"/>
      <c r="C87" s="13"/>
      <c r="D87" s="13" t="s">
        <v>241</v>
      </c>
      <c r="E87" s="13"/>
      <c r="F87" s="19">
        <v>124500</v>
      </c>
      <c r="G87" s="13"/>
      <c r="H87" s="13"/>
      <c r="I87" s="242"/>
    </row>
    <row r="88" spans="1:9" x14ac:dyDescent="0.2">
      <c r="A88" s="239"/>
      <c r="B88" s="13"/>
      <c r="C88" s="13"/>
      <c r="D88" s="13" t="s">
        <v>240</v>
      </c>
      <c r="E88" s="13"/>
      <c r="F88" s="19">
        <v>40400</v>
      </c>
      <c r="G88" s="13"/>
      <c r="H88" s="13"/>
      <c r="I88" s="242"/>
    </row>
    <row r="89" spans="1:9" x14ac:dyDescent="0.2">
      <c r="A89" s="239"/>
      <c r="B89" s="13"/>
      <c r="C89" s="13"/>
      <c r="D89" s="13" t="s">
        <v>10</v>
      </c>
      <c r="E89" s="13"/>
      <c r="F89" s="19">
        <v>17259.224500000004</v>
      </c>
      <c r="G89" s="13"/>
      <c r="H89" s="13"/>
      <c r="I89" s="242"/>
    </row>
    <row r="90" spans="1:9" x14ac:dyDescent="0.2">
      <c r="A90" s="239"/>
      <c r="B90" s="13"/>
      <c r="C90" s="13"/>
      <c r="D90" s="13" t="s">
        <v>12</v>
      </c>
      <c r="E90" s="13"/>
      <c r="F90" s="19">
        <v>0</v>
      </c>
      <c r="G90" s="13"/>
      <c r="H90" s="13"/>
      <c r="I90" s="242"/>
    </row>
    <row r="91" spans="1:9" x14ac:dyDescent="0.2">
      <c r="A91" s="239"/>
      <c r="B91" s="13"/>
      <c r="C91" s="13"/>
      <c r="D91" s="13" t="s">
        <v>13</v>
      </c>
      <c r="E91" s="13"/>
      <c r="F91" s="17">
        <v>-1900</v>
      </c>
      <c r="G91" s="13"/>
      <c r="H91" s="13"/>
      <c r="I91" s="242"/>
    </row>
    <row r="92" spans="1:9" ht="15" thickBot="1" x14ac:dyDescent="0.25">
      <c r="A92" s="239"/>
      <c r="B92" s="13"/>
      <c r="C92" s="13"/>
      <c r="D92" s="13"/>
      <c r="E92" s="13" t="s">
        <v>54</v>
      </c>
      <c r="F92" s="26">
        <f>SUM(F82:F91)</f>
        <v>604459.22450000001</v>
      </c>
      <c r="G92" s="13"/>
      <c r="H92" s="253">
        <f>+F92+F78</f>
        <v>709459.22450000001</v>
      </c>
      <c r="I92" s="242"/>
    </row>
    <row r="93" spans="1:9" ht="15" thickTop="1" x14ac:dyDescent="0.2">
      <c r="A93" s="239"/>
      <c r="B93" s="13"/>
      <c r="C93" s="13"/>
      <c r="D93" s="13"/>
      <c r="E93" s="13"/>
      <c r="F93" s="23"/>
      <c r="G93" s="13"/>
      <c r="H93" s="13"/>
      <c r="I93" s="242"/>
    </row>
    <row r="94" spans="1:9" x14ac:dyDescent="0.2">
      <c r="A94" s="239"/>
      <c r="B94" s="13"/>
      <c r="C94" s="13"/>
      <c r="D94" s="13"/>
      <c r="E94" s="13"/>
      <c r="F94" s="23"/>
      <c r="G94" s="13"/>
      <c r="H94" s="13"/>
      <c r="I94" s="242"/>
    </row>
    <row r="95" spans="1:9" x14ac:dyDescent="0.2">
      <c r="A95" s="239"/>
      <c r="B95" s="13"/>
      <c r="C95" s="254" t="s">
        <v>55</v>
      </c>
      <c r="D95" s="13"/>
      <c r="E95" s="20" t="s">
        <v>43</v>
      </c>
      <c r="F95" s="25">
        <f>F92</f>
        <v>604459.22450000001</v>
      </c>
      <c r="G95" s="252" t="s">
        <v>56</v>
      </c>
      <c r="H95" s="13"/>
      <c r="I95" s="242"/>
    </row>
    <row r="96" spans="1:9" x14ac:dyDescent="0.2">
      <c r="A96" s="239"/>
      <c r="B96" s="13"/>
      <c r="C96" s="13"/>
      <c r="D96" s="13"/>
      <c r="E96" s="250" t="s">
        <v>264</v>
      </c>
      <c r="F96" s="255">
        <f>F78</f>
        <v>105000</v>
      </c>
      <c r="G96" s="13"/>
      <c r="H96" s="13"/>
      <c r="I96" s="242"/>
    </row>
    <row r="97" spans="1:9" x14ac:dyDescent="0.2">
      <c r="A97" s="239"/>
      <c r="B97" s="13"/>
      <c r="C97" s="13"/>
      <c r="D97" s="13"/>
      <c r="E97" s="13"/>
      <c r="F97" s="15"/>
      <c r="G97" s="13"/>
      <c r="H97" s="13"/>
      <c r="I97" s="242"/>
    </row>
    <row r="98" spans="1:9" x14ac:dyDescent="0.2">
      <c r="A98" s="239"/>
      <c r="B98" s="13"/>
      <c r="C98" s="13"/>
      <c r="D98" s="13"/>
      <c r="E98" s="13"/>
      <c r="F98" s="15"/>
      <c r="G98" s="13"/>
      <c r="H98" s="13"/>
      <c r="I98" s="242"/>
    </row>
    <row r="99" spans="1:9" x14ac:dyDescent="0.2">
      <c r="A99" s="239"/>
      <c r="B99" s="13" t="s">
        <v>57</v>
      </c>
      <c r="C99" s="13"/>
      <c r="D99" s="13"/>
      <c r="E99" s="13"/>
      <c r="F99" s="15"/>
      <c r="G99" s="13"/>
      <c r="H99" s="13"/>
      <c r="I99" s="242"/>
    </row>
    <row r="100" spans="1:9" x14ac:dyDescent="0.2">
      <c r="A100" s="239"/>
      <c r="B100" s="13" t="s">
        <v>58</v>
      </c>
      <c r="C100" s="13"/>
      <c r="D100" s="13"/>
      <c r="E100" s="13"/>
      <c r="F100" s="15"/>
      <c r="G100" s="13"/>
      <c r="H100" s="13"/>
      <c r="I100" s="242"/>
    </row>
    <row r="101" spans="1:9" x14ac:dyDescent="0.2">
      <c r="A101" s="239"/>
      <c r="B101" s="13"/>
      <c r="C101" s="13"/>
      <c r="D101" s="13"/>
      <c r="E101" s="13"/>
      <c r="F101" s="15"/>
      <c r="G101" s="13"/>
      <c r="H101" s="13"/>
      <c r="I101" s="242"/>
    </row>
    <row r="102" spans="1:9" ht="15" thickBot="1" x14ac:dyDescent="0.25">
      <c r="A102" s="239"/>
      <c r="B102" s="13"/>
      <c r="C102" s="13"/>
      <c r="D102" s="13" t="s">
        <v>59</v>
      </c>
      <c r="E102" s="13" t="s">
        <v>60</v>
      </c>
      <c r="F102" s="13"/>
      <c r="G102" s="24" t="s">
        <v>61</v>
      </c>
      <c r="H102" s="13"/>
      <c r="I102" s="242"/>
    </row>
    <row r="103" spans="1:9" ht="20" thickTop="1" x14ac:dyDescent="0.25">
      <c r="A103" s="9"/>
      <c r="B103" s="10"/>
      <c r="C103" s="10"/>
      <c r="D103" s="10"/>
      <c r="E103" s="256"/>
      <c r="F103" s="244"/>
      <c r="G103" s="10"/>
      <c r="H103" s="10"/>
      <c r="I103" s="245"/>
    </row>
    <row r="104" spans="1:9" ht="16" x14ac:dyDescent="0.2">
      <c r="A104" s="257" t="s">
        <v>268</v>
      </c>
      <c r="B104" s="258" t="s">
        <v>290</v>
      </c>
      <c r="C104" s="259"/>
      <c r="D104" s="259"/>
      <c r="E104" s="259"/>
      <c r="F104" s="259"/>
      <c r="G104" s="259"/>
      <c r="H104" s="259"/>
      <c r="I104" s="260"/>
    </row>
    <row r="105" spans="1:9" x14ac:dyDescent="0.2">
      <c r="A105" s="239"/>
      <c r="B105" s="13"/>
      <c r="C105" s="13"/>
      <c r="D105" s="13"/>
      <c r="E105" s="13"/>
      <c r="F105" s="13"/>
      <c r="G105" s="13"/>
      <c r="H105" s="13"/>
      <c r="I105" s="242"/>
    </row>
    <row r="106" spans="1:9" x14ac:dyDescent="0.2">
      <c r="A106" s="261"/>
      <c r="B106" s="13" t="s">
        <v>253</v>
      </c>
      <c r="C106" s="13"/>
      <c r="D106" s="13"/>
      <c r="E106" s="13"/>
      <c r="F106" s="13"/>
      <c r="G106" s="13"/>
      <c r="H106" s="13"/>
      <c r="I106" s="242"/>
    </row>
    <row r="107" spans="1:9" x14ac:dyDescent="0.2">
      <c r="A107" s="261"/>
      <c r="B107" s="13" t="s">
        <v>254</v>
      </c>
      <c r="C107" s="13"/>
      <c r="D107" s="13"/>
      <c r="E107" s="13"/>
      <c r="F107" s="13"/>
      <c r="G107" s="13"/>
      <c r="H107" s="13"/>
      <c r="I107" s="242"/>
    </row>
    <row r="108" spans="1:9" x14ac:dyDescent="0.2">
      <c r="A108" s="261"/>
      <c r="B108" s="13"/>
      <c r="C108" s="13"/>
      <c r="D108" s="13"/>
      <c r="E108" s="13"/>
      <c r="F108" s="13"/>
      <c r="G108" s="13"/>
      <c r="H108" s="13"/>
      <c r="I108" s="242"/>
    </row>
    <row r="109" spans="1:9" x14ac:dyDescent="0.2">
      <c r="A109" s="261"/>
      <c r="B109" s="13" t="s">
        <v>292</v>
      </c>
      <c r="C109" s="13"/>
      <c r="D109" s="13"/>
      <c r="E109" s="13"/>
      <c r="F109" s="13"/>
      <c r="G109" s="13"/>
      <c r="H109" s="13"/>
      <c r="I109" s="242"/>
    </row>
    <row r="110" spans="1:9" x14ac:dyDescent="0.2">
      <c r="A110" s="261"/>
      <c r="B110" s="13" t="s">
        <v>291</v>
      </c>
      <c r="C110" s="13"/>
      <c r="D110" s="13"/>
      <c r="E110" s="13"/>
      <c r="F110" s="13"/>
      <c r="G110" s="13"/>
      <c r="H110" s="13"/>
      <c r="I110" s="242"/>
    </row>
    <row r="111" spans="1:9" x14ac:dyDescent="0.2">
      <c r="A111" s="239"/>
      <c r="B111" s="13"/>
      <c r="C111" s="13"/>
      <c r="D111" s="13"/>
      <c r="E111" s="13"/>
      <c r="F111" s="13"/>
      <c r="G111" s="13"/>
      <c r="H111" s="13"/>
      <c r="I111" s="242"/>
    </row>
    <row r="112" spans="1:9" x14ac:dyDescent="0.2">
      <c r="A112" s="239"/>
      <c r="B112" s="13"/>
      <c r="C112" s="13"/>
      <c r="D112" s="13"/>
      <c r="E112" s="13"/>
      <c r="F112" s="13"/>
      <c r="G112" s="13"/>
      <c r="H112" s="13"/>
      <c r="I112" s="242"/>
    </row>
    <row r="113" spans="1:9" ht="16" x14ac:dyDescent="0.2">
      <c r="A113" s="247" t="s">
        <v>16</v>
      </c>
      <c r="B113" s="16" t="s">
        <v>255</v>
      </c>
      <c r="C113" s="13"/>
      <c r="D113" s="13"/>
      <c r="E113" s="13"/>
      <c r="F113" s="13"/>
      <c r="G113" s="13"/>
      <c r="H113" s="13"/>
      <c r="I113" s="242"/>
    </row>
    <row r="114" spans="1:9" x14ac:dyDescent="0.2">
      <c r="A114" s="239"/>
      <c r="B114" s="13"/>
      <c r="C114" s="13"/>
      <c r="D114" s="13"/>
      <c r="E114" s="13"/>
      <c r="F114" s="13"/>
      <c r="G114" s="13"/>
      <c r="H114" s="13"/>
      <c r="I114" s="242"/>
    </row>
    <row r="115" spans="1:9" x14ac:dyDescent="0.2">
      <c r="A115" s="239"/>
      <c r="B115" s="13"/>
      <c r="C115" s="13" t="s">
        <v>62</v>
      </c>
      <c r="D115" s="13"/>
      <c r="E115" s="20" t="s">
        <v>63</v>
      </c>
      <c r="F115" s="262">
        <f>F20</f>
        <v>709459.22450000001</v>
      </c>
      <c r="G115" s="13"/>
      <c r="H115" s="13"/>
      <c r="I115" s="242"/>
    </row>
    <row r="116" spans="1:9" x14ac:dyDescent="0.2">
      <c r="A116" s="239"/>
      <c r="B116" s="13"/>
      <c r="C116" s="13"/>
      <c r="D116" s="13"/>
      <c r="E116" s="13" t="s">
        <v>64</v>
      </c>
      <c r="F116" s="263">
        <f>F64</f>
        <v>5000</v>
      </c>
      <c r="G116" s="13"/>
      <c r="H116" s="13"/>
      <c r="I116" s="242"/>
    </row>
    <row r="117" spans="1:9" x14ac:dyDescent="0.2">
      <c r="A117" s="239"/>
      <c r="B117" s="13"/>
      <c r="C117" s="13"/>
      <c r="D117" s="13"/>
      <c r="E117" s="13"/>
      <c r="F117" s="15"/>
      <c r="G117" s="13"/>
      <c r="H117" s="13"/>
      <c r="I117" s="242"/>
    </row>
    <row r="118" spans="1:9" ht="15" thickBot="1" x14ac:dyDescent="0.25">
      <c r="A118" s="239"/>
      <c r="B118" s="13"/>
      <c r="C118" s="13"/>
      <c r="D118" s="13"/>
      <c r="E118" s="264" t="s">
        <v>65</v>
      </c>
      <c r="F118" s="215">
        <f>F115/F116</f>
        <v>141.8918449</v>
      </c>
      <c r="G118" s="240" t="s">
        <v>257</v>
      </c>
      <c r="H118" s="13"/>
      <c r="I118" s="242"/>
    </row>
    <row r="119" spans="1:9" ht="15" thickTop="1" x14ac:dyDescent="0.2">
      <c r="A119" s="239"/>
      <c r="B119" s="13"/>
      <c r="C119" s="13"/>
      <c r="D119" s="13"/>
      <c r="E119" s="264"/>
      <c r="F119" s="27"/>
      <c r="G119" s="240"/>
      <c r="H119" s="13"/>
      <c r="I119" s="242"/>
    </row>
    <row r="120" spans="1:9" x14ac:dyDescent="0.2">
      <c r="A120" s="239"/>
      <c r="B120" s="13"/>
      <c r="C120" s="13"/>
      <c r="D120" s="13"/>
      <c r="E120" s="13"/>
      <c r="F120" s="15"/>
      <c r="G120" s="13"/>
      <c r="H120" s="13"/>
      <c r="I120" s="242"/>
    </row>
    <row r="121" spans="1:9" ht="16" x14ac:dyDescent="0.2">
      <c r="A121" s="247" t="s">
        <v>38</v>
      </c>
      <c r="B121" s="16" t="s">
        <v>256</v>
      </c>
      <c r="C121" s="13"/>
      <c r="D121" s="13"/>
      <c r="E121" s="13"/>
      <c r="F121" s="15"/>
      <c r="G121" s="13"/>
      <c r="H121" s="13"/>
      <c r="I121" s="242"/>
    </row>
    <row r="122" spans="1:9" x14ac:dyDescent="0.2">
      <c r="A122" s="239"/>
      <c r="B122" s="13"/>
      <c r="C122" s="13"/>
      <c r="D122" s="13"/>
      <c r="E122" s="13"/>
      <c r="F122" s="15"/>
      <c r="G122" s="13"/>
      <c r="H122" s="13"/>
      <c r="I122" s="242"/>
    </row>
    <row r="123" spans="1:9" x14ac:dyDescent="0.2">
      <c r="A123" s="239"/>
      <c r="B123" s="13" t="s">
        <v>288</v>
      </c>
      <c r="C123" s="13"/>
      <c r="D123" s="13"/>
      <c r="E123" s="13"/>
      <c r="F123" s="15"/>
      <c r="G123" s="13"/>
      <c r="H123" s="13"/>
      <c r="I123" s="242"/>
    </row>
    <row r="124" spans="1:9" x14ac:dyDescent="0.2">
      <c r="A124" s="239"/>
      <c r="B124" s="13"/>
      <c r="C124" s="13"/>
      <c r="D124" s="13"/>
      <c r="E124" s="13"/>
      <c r="F124" s="15"/>
      <c r="G124" s="13"/>
      <c r="H124" s="13"/>
      <c r="I124" s="242"/>
    </row>
    <row r="125" spans="1:9" x14ac:dyDescent="0.2">
      <c r="A125" s="239"/>
      <c r="B125" s="13"/>
      <c r="C125" s="13" t="s">
        <v>2</v>
      </c>
      <c r="D125" s="13"/>
      <c r="E125" s="20" t="s">
        <v>66</v>
      </c>
      <c r="F125" s="265" t="s">
        <v>262</v>
      </c>
      <c r="G125" s="13"/>
      <c r="H125" s="13"/>
      <c r="I125" s="242"/>
    </row>
    <row r="126" spans="1:9" x14ac:dyDescent="0.2">
      <c r="A126" s="239"/>
      <c r="B126" s="13"/>
      <c r="C126" s="13"/>
      <c r="D126" s="13"/>
      <c r="E126" s="13" t="s">
        <v>64</v>
      </c>
      <c r="F126" s="15">
        <v>5000</v>
      </c>
      <c r="G126" s="13"/>
      <c r="H126" s="13"/>
      <c r="I126" s="242"/>
    </row>
    <row r="127" spans="1:9" x14ac:dyDescent="0.2">
      <c r="A127" s="239"/>
      <c r="B127" s="13"/>
      <c r="C127" s="13"/>
      <c r="D127" s="13"/>
      <c r="E127" s="13"/>
      <c r="F127" s="15"/>
      <c r="G127" s="13"/>
      <c r="H127" s="13"/>
      <c r="I127" s="242"/>
    </row>
    <row r="128" spans="1:9" ht="15" thickBot="1" x14ac:dyDescent="0.25">
      <c r="A128" s="239"/>
      <c r="B128" s="13"/>
      <c r="C128" s="13"/>
      <c r="D128" s="13"/>
      <c r="E128" s="264" t="s">
        <v>67</v>
      </c>
      <c r="F128" s="215">
        <f>(709459-50000)/5000</f>
        <v>131.89179999999999</v>
      </c>
      <c r="G128" s="240" t="s">
        <v>257</v>
      </c>
      <c r="H128" s="13"/>
      <c r="I128" s="242"/>
    </row>
    <row r="129" spans="1:9" ht="15" thickTop="1" x14ac:dyDescent="0.2">
      <c r="A129" s="239"/>
      <c r="B129" s="13"/>
      <c r="C129" s="13"/>
      <c r="D129" s="13"/>
      <c r="E129" s="264"/>
      <c r="F129" s="27"/>
      <c r="G129" s="240"/>
      <c r="H129" s="13"/>
      <c r="I129" s="242"/>
    </row>
    <row r="130" spans="1:9" x14ac:dyDescent="0.2">
      <c r="A130" s="239"/>
      <c r="B130" s="13"/>
      <c r="C130" s="13"/>
      <c r="D130" s="13"/>
      <c r="E130" s="264" t="s">
        <v>289</v>
      </c>
      <c r="F130" s="27"/>
      <c r="G130" s="240"/>
      <c r="H130" s="13"/>
      <c r="I130" s="242"/>
    </row>
    <row r="131" spans="1:9" x14ac:dyDescent="0.2">
      <c r="A131" s="239"/>
      <c r="B131" s="13"/>
      <c r="C131" s="13"/>
      <c r="D131" s="13"/>
      <c r="E131" s="250"/>
      <c r="F131" s="27"/>
      <c r="G131" s="240"/>
      <c r="H131" s="13"/>
      <c r="I131" s="242"/>
    </row>
    <row r="132" spans="1:9" ht="16" x14ac:dyDescent="0.2">
      <c r="A132" s="247" t="s">
        <v>44</v>
      </c>
      <c r="B132" s="16" t="s">
        <v>68</v>
      </c>
      <c r="C132" s="13"/>
      <c r="D132" s="13"/>
      <c r="E132" s="13"/>
      <c r="F132" s="15"/>
      <c r="G132" s="13"/>
      <c r="H132" s="13"/>
      <c r="I132" s="242"/>
    </row>
    <row r="133" spans="1:9" x14ac:dyDescent="0.2">
      <c r="A133" s="239"/>
      <c r="B133" s="13"/>
      <c r="C133" s="13"/>
      <c r="D133" s="13"/>
      <c r="E133" s="13"/>
      <c r="F133" s="15"/>
      <c r="G133" s="13"/>
      <c r="H133" s="13"/>
      <c r="I133" s="242"/>
    </row>
    <row r="134" spans="1:9" x14ac:dyDescent="0.2">
      <c r="A134" s="239"/>
      <c r="B134" s="13" t="s">
        <v>69</v>
      </c>
      <c r="C134" s="13"/>
      <c r="D134" s="13"/>
      <c r="E134" s="13"/>
      <c r="F134" s="15"/>
      <c r="G134" s="13"/>
      <c r="H134" s="13"/>
      <c r="I134" s="242"/>
    </row>
    <row r="135" spans="1:9" x14ac:dyDescent="0.2">
      <c r="A135" s="239"/>
      <c r="B135" s="13"/>
      <c r="C135" s="13"/>
      <c r="D135" s="13"/>
      <c r="E135" s="13"/>
      <c r="F135" s="15"/>
      <c r="G135" s="13"/>
      <c r="H135" s="13"/>
      <c r="I135" s="242"/>
    </row>
    <row r="136" spans="1:9" x14ac:dyDescent="0.2">
      <c r="A136" s="239"/>
      <c r="B136" s="13" t="s">
        <v>70</v>
      </c>
      <c r="C136" s="13"/>
      <c r="D136" s="13"/>
      <c r="E136" s="13"/>
      <c r="F136" s="15"/>
      <c r="G136" s="13"/>
      <c r="H136" s="13"/>
      <c r="I136" s="242"/>
    </row>
    <row r="137" spans="1:9" x14ac:dyDescent="0.2">
      <c r="A137" s="239"/>
      <c r="B137" s="13"/>
      <c r="C137" s="249"/>
      <c r="D137" s="13"/>
      <c r="E137" s="13"/>
      <c r="F137" s="15"/>
      <c r="G137" s="13"/>
      <c r="H137" s="13"/>
      <c r="I137" s="242"/>
    </row>
    <row r="138" spans="1:9" x14ac:dyDescent="0.2">
      <c r="A138" s="239"/>
      <c r="B138" s="13"/>
      <c r="C138" s="13"/>
      <c r="D138" s="13"/>
      <c r="E138" s="13"/>
      <c r="F138" s="27"/>
      <c r="G138" s="13"/>
      <c r="H138" s="13"/>
      <c r="I138" s="242"/>
    </row>
    <row r="139" spans="1:9" x14ac:dyDescent="0.2">
      <c r="A139" s="239"/>
      <c r="B139" s="13"/>
      <c r="C139" s="13" t="s">
        <v>71</v>
      </c>
      <c r="D139" s="249"/>
      <c r="E139" s="266" t="s">
        <v>72</v>
      </c>
      <c r="F139" s="265" t="s">
        <v>258</v>
      </c>
      <c r="G139" s="13"/>
      <c r="H139" s="13"/>
      <c r="I139" s="242"/>
    </row>
    <row r="140" spans="1:9" x14ac:dyDescent="0.2">
      <c r="A140" s="239"/>
      <c r="B140" s="13"/>
      <c r="C140" s="13"/>
      <c r="D140" s="13"/>
      <c r="E140" s="13" t="s">
        <v>73</v>
      </c>
      <c r="F140" s="15">
        <v>200</v>
      </c>
      <c r="G140" s="13"/>
      <c r="H140" s="13"/>
      <c r="I140" s="242"/>
    </row>
    <row r="141" spans="1:9" x14ac:dyDescent="0.2">
      <c r="A141" s="239"/>
      <c r="B141" s="13"/>
      <c r="C141" s="13"/>
      <c r="D141" s="13"/>
      <c r="E141" s="13"/>
      <c r="F141" s="15"/>
      <c r="G141" s="13"/>
      <c r="H141" s="13"/>
      <c r="I141" s="242"/>
    </row>
    <row r="142" spans="1:9" ht="15" thickBot="1" x14ac:dyDescent="0.25">
      <c r="A142" s="239"/>
      <c r="B142" s="13"/>
      <c r="C142" s="13"/>
      <c r="D142" s="13"/>
      <c r="E142" s="267" t="s">
        <v>74</v>
      </c>
      <c r="F142" s="215">
        <f>((200*141.89)-15000)/200</f>
        <v>66.889999999999986</v>
      </c>
      <c r="G142" s="240" t="s">
        <v>257</v>
      </c>
      <c r="H142" s="13"/>
      <c r="I142" s="242"/>
    </row>
    <row r="143" spans="1:9" ht="15" thickTop="1" x14ac:dyDescent="0.2">
      <c r="A143" s="239"/>
      <c r="B143" s="13"/>
      <c r="C143" s="13"/>
      <c r="D143" s="13"/>
      <c r="E143" s="13"/>
      <c r="F143" s="15"/>
      <c r="G143" s="13"/>
      <c r="H143" s="13"/>
      <c r="I143" s="242"/>
    </row>
    <row r="144" spans="1:9" x14ac:dyDescent="0.2">
      <c r="A144" s="239"/>
      <c r="B144" s="13"/>
      <c r="C144" s="13"/>
      <c r="D144" s="13"/>
      <c r="E144" s="13" t="s">
        <v>260</v>
      </c>
      <c r="F144" s="217">
        <f>F142</f>
        <v>66.889999999999986</v>
      </c>
      <c r="G144" s="13"/>
      <c r="H144" s="13"/>
      <c r="I144" s="242"/>
    </row>
    <row r="145" spans="1:9" x14ac:dyDescent="0.2">
      <c r="A145" s="239"/>
      <c r="B145" s="13"/>
      <c r="C145" s="13"/>
      <c r="D145" s="13"/>
      <c r="E145" s="13" t="s">
        <v>261</v>
      </c>
      <c r="F145" s="216">
        <f>+F118-F144</f>
        <v>75.001844900000009</v>
      </c>
      <c r="G145" s="13"/>
      <c r="H145" s="13"/>
      <c r="I145" s="242"/>
    </row>
    <row r="146" spans="1:9" x14ac:dyDescent="0.2">
      <c r="A146" s="239"/>
      <c r="B146" s="13"/>
      <c r="C146" s="13"/>
      <c r="D146" s="13"/>
      <c r="E146" s="13"/>
      <c r="F146" s="217">
        <f>SUM(F144:F145)</f>
        <v>141.8918449</v>
      </c>
      <c r="G146" s="13"/>
      <c r="H146" s="13"/>
      <c r="I146" s="242"/>
    </row>
    <row r="147" spans="1:9" x14ac:dyDescent="0.2">
      <c r="A147" s="9"/>
      <c r="B147" s="10"/>
      <c r="C147" s="10" t="s">
        <v>75</v>
      </c>
      <c r="D147" s="10" t="s">
        <v>259</v>
      </c>
      <c r="E147" s="10"/>
      <c r="F147" s="10"/>
      <c r="G147" s="10"/>
      <c r="H147" s="10"/>
      <c r="I147" s="245"/>
    </row>
  </sheetData>
  <phoneticPr fontId="0" type="noConversion"/>
  <pageMargins left="0.1" right="0.1" top="0.5" bottom="0.5" header="0.5" footer="0.5"/>
  <pageSetup scale="95" firstPageNumber="33" orientation="portrait" useFirstPageNumber="1" r:id="rId1"/>
  <headerFooter alignWithMargins="0">
    <oddFooter>&amp;C &amp;P</oddFooter>
  </headerFooter>
  <rowBreaks count="1" manualBreakCount="1">
    <brk id="103"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R43"/>
  <sheetViews>
    <sheetView workbookViewId="0"/>
  </sheetViews>
  <sheetFormatPr baseColWidth="10" defaultColWidth="8.7109375" defaultRowHeight="14" x14ac:dyDescent="0.2"/>
  <cols>
    <col min="1" max="1" width="15.85546875" bestFit="1" customWidth="1"/>
    <col min="4" max="5" width="19.5703125" customWidth="1"/>
    <col min="13" max="13" width="12.42578125" customWidth="1"/>
    <col min="16" max="16" width="11" style="78" bestFit="1" customWidth="1"/>
    <col min="17" max="17" width="9.7109375" style="78" customWidth="1"/>
    <col min="18" max="18" width="11.5703125" style="78" bestFit="1" customWidth="1"/>
  </cols>
  <sheetData>
    <row r="1" spans="1:18" x14ac:dyDescent="0.2">
      <c r="A1" s="52" t="s">
        <v>270</v>
      </c>
    </row>
    <row r="2" spans="1:18" x14ac:dyDescent="0.2">
      <c r="P2" s="78" t="s">
        <v>177</v>
      </c>
      <c r="Q2" t="s">
        <v>120</v>
      </c>
    </row>
    <row r="3" spans="1:18" x14ac:dyDescent="0.2">
      <c r="G3" s="66" t="s">
        <v>125</v>
      </c>
      <c r="H3" s="67"/>
      <c r="I3" s="67"/>
      <c r="J3" s="67"/>
      <c r="K3" s="68" t="s">
        <v>126</v>
      </c>
      <c r="L3" s="69"/>
      <c r="M3" s="69"/>
      <c r="N3" s="69"/>
      <c r="O3" s="69"/>
      <c r="P3" s="79">
        <v>0.3</v>
      </c>
    </row>
    <row r="4" spans="1:18" ht="28" x14ac:dyDescent="0.2">
      <c r="A4" s="28" t="s">
        <v>79</v>
      </c>
      <c r="B4" s="28" t="s">
        <v>80</v>
      </c>
      <c r="C4" s="28"/>
      <c r="D4" s="28" t="s">
        <v>81</v>
      </c>
      <c r="E4" s="28" t="s">
        <v>132</v>
      </c>
      <c r="F4" s="29" t="s">
        <v>82</v>
      </c>
      <c r="G4" s="28" t="s">
        <v>83</v>
      </c>
      <c r="H4" s="30" t="s">
        <v>84</v>
      </c>
      <c r="I4" s="31" t="s">
        <v>91</v>
      </c>
      <c r="J4" s="30" t="s">
        <v>123</v>
      </c>
      <c r="K4" s="28" t="s">
        <v>86</v>
      </c>
      <c r="L4" s="30" t="s">
        <v>87</v>
      </c>
      <c r="M4" s="31" t="s">
        <v>85</v>
      </c>
      <c r="N4" s="30" t="s">
        <v>124</v>
      </c>
      <c r="O4" s="30" t="s">
        <v>90</v>
      </c>
      <c r="P4" s="303"/>
      <c r="Q4" s="304"/>
      <c r="R4" s="304"/>
    </row>
    <row r="5" spans="1:18" x14ac:dyDescent="0.2">
      <c r="A5" s="32"/>
      <c r="B5" s="33">
        <v>6012</v>
      </c>
      <c r="C5" s="32"/>
      <c r="D5" s="32" t="s">
        <v>102</v>
      </c>
      <c r="E5" s="32" t="s">
        <v>133</v>
      </c>
      <c r="F5" s="34" t="s">
        <v>309</v>
      </c>
      <c r="G5" s="32">
        <v>0.5</v>
      </c>
      <c r="H5" s="35">
        <v>185639.04000000001</v>
      </c>
      <c r="I5" s="36">
        <v>0.4</v>
      </c>
      <c r="J5" s="37">
        <f>H5*I5</f>
        <v>74255.616000000009</v>
      </c>
      <c r="K5" s="32">
        <v>0.5</v>
      </c>
      <c r="L5" s="35">
        <f>H5*1.03</f>
        <v>191208.21120000002</v>
      </c>
      <c r="M5" s="36">
        <v>0.4</v>
      </c>
      <c r="N5" s="37">
        <f>L5*M5</f>
        <v>76483.284480000017</v>
      </c>
      <c r="O5" s="37">
        <f>N5*$P$3</f>
        <v>22944.985344000004</v>
      </c>
      <c r="P5" s="80" t="s">
        <v>88</v>
      </c>
      <c r="Q5" s="80"/>
      <c r="R5" s="80"/>
    </row>
    <row r="6" spans="1:18" x14ac:dyDescent="0.2">
      <c r="A6" s="32"/>
      <c r="B6" s="33">
        <v>6013</v>
      </c>
      <c r="C6" s="32"/>
      <c r="D6" s="32" t="s">
        <v>103</v>
      </c>
      <c r="E6" s="32" t="s">
        <v>133</v>
      </c>
      <c r="F6" s="34" t="s">
        <v>309</v>
      </c>
      <c r="G6" s="32">
        <v>0.6</v>
      </c>
      <c r="H6" s="35">
        <v>113086.44</v>
      </c>
      <c r="I6" s="36">
        <v>0.3</v>
      </c>
      <c r="J6" s="37">
        <f>H6*I6</f>
        <v>33925.932000000001</v>
      </c>
      <c r="K6" s="32">
        <v>0.6</v>
      </c>
      <c r="L6" s="35">
        <f>H6*1.03</f>
        <v>116479.03320000001</v>
      </c>
      <c r="M6" s="36">
        <v>0.3</v>
      </c>
      <c r="N6" s="37">
        <f>L6*M6</f>
        <v>34943.70996</v>
      </c>
      <c r="O6" s="37">
        <f>N6*$P$3</f>
        <v>10483.112987999999</v>
      </c>
      <c r="P6" s="80" t="s">
        <v>88</v>
      </c>
      <c r="Q6" s="80"/>
      <c r="R6" s="80"/>
    </row>
    <row r="7" spans="1:18" x14ac:dyDescent="0.2">
      <c r="A7" s="32"/>
      <c r="B7" s="33">
        <v>6145</v>
      </c>
      <c r="C7" s="32"/>
      <c r="D7" s="38" t="s">
        <v>104</v>
      </c>
      <c r="E7" s="38" t="s">
        <v>134</v>
      </c>
      <c r="F7" s="34" t="s">
        <v>309</v>
      </c>
      <c r="G7" s="32">
        <v>1</v>
      </c>
      <c r="H7" s="35">
        <v>52036.56</v>
      </c>
      <c r="I7" s="36">
        <v>0.125</v>
      </c>
      <c r="J7" s="37">
        <f>H7*I7</f>
        <v>6504.57</v>
      </c>
      <c r="K7" s="32">
        <v>1</v>
      </c>
      <c r="L7" s="35">
        <f>H7*1.02</f>
        <v>53077.2912</v>
      </c>
      <c r="M7" s="36">
        <v>0.125</v>
      </c>
      <c r="N7" s="37">
        <f>L7*M7</f>
        <v>6634.6614</v>
      </c>
      <c r="O7" s="37">
        <f>N7*$P$3</f>
        <v>1990.39842</v>
      </c>
      <c r="P7" s="81" t="s">
        <v>89</v>
      </c>
      <c r="Q7" s="80"/>
      <c r="R7" s="80"/>
    </row>
    <row r="8" spans="1:18" x14ac:dyDescent="0.2">
      <c r="A8" s="32"/>
      <c r="B8" s="33">
        <v>6145</v>
      </c>
      <c r="C8" s="32"/>
      <c r="D8" s="32" t="s">
        <v>122</v>
      </c>
      <c r="E8" s="32" t="s">
        <v>134</v>
      </c>
      <c r="F8" s="34" t="s">
        <v>309</v>
      </c>
      <c r="G8" s="32">
        <v>1</v>
      </c>
      <c r="H8" s="39">
        <v>151880.28</v>
      </c>
      <c r="I8" s="36">
        <v>0.4</v>
      </c>
      <c r="J8" s="37">
        <f>H8*I8</f>
        <v>60752.112000000001</v>
      </c>
      <c r="K8" s="32">
        <v>1</v>
      </c>
      <c r="L8" s="35">
        <f>H8*1.03</f>
        <v>156436.68840000001</v>
      </c>
      <c r="M8" s="36">
        <v>0.44080000000000003</v>
      </c>
      <c r="N8" s="76">
        <f>L8*M8</f>
        <v>68957.292246720011</v>
      </c>
      <c r="O8" s="76">
        <f>N8*$P$3</f>
        <v>20687.187674016004</v>
      </c>
      <c r="P8" s="80" t="s">
        <v>88</v>
      </c>
      <c r="Q8" s="80"/>
      <c r="R8" s="80"/>
    </row>
    <row r="9" spans="1:18" x14ac:dyDescent="0.2">
      <c r="A9" s="40"/>
      <c r="B9" s="40"/>
      <c r="C9" s="40"/>
      <c r="D9" s="40"/>
      <c r="E9" s="40"/>
      <c r="F9" s="40"/>
      <c r="G9" s="40"/>
      <c r="H9" s="40"/>
      <c r="I9" s="40"/>
      <c r="J9" s="37"/>
      <c r="K9" s="40"/>
      <c r="L9" s="40"/>
      <c r="M9" s="40"/>
      <c r="N9" s="37">
        <f>SUM(N5:N8)</f>
        <v>187018.94808672002</v>
      </c>
      <c r="O9" s="37">
        <f>N9*$P$3</f>
        <v>56105.684426016007</v>
      </c>
      <c r="P9" s="82"/>
      <c r="Q9" s="82"/>
      <c r="R9" s="82"/>
    </row>
    <row r="10" spans="1:18" x14ac:dyDescent="0.2">
      <c r="A10" s="40"/>
      <c r="B10" s="40"/>
      <c r="C10" s="40"/>
      <c r="D10" s="40"/>
      <c r="E10" s="40"/>
      <c r="F10" s="40"/>
      <c r="G10" s="40"/>
      <c r="H10" s="40"/>
      <c r="I10" s="40"/>
      <c r="J10" s="37"/>
      <c r="K10" s="40"/>
      <c r="L10" s="40"/>
      <c r="M10" s="40"/>
      <c r="N10" s="37"/>
      <c r="O10" s="37"/>
      <c r="P10" s="83"/>
      <c r="Q10" s="83"/>
      <c r="R10" s="84"/>
    </row>
    <row r="11" spans="1:18" x14ac:dyDescent="0.2">
      <c r="A11" s="32"/>
      <c r="B11" s="33">
        <v>6163</v>
      </c>
      <c r="C11" s="32"/>
      <c r="D11" s="32" t="s">
        <v>127</v>
      </c>
      <c r="E11" s="32" t="s">
        <v>135</v>
      </c>
      <c r="F11" s="34" t="s">
        <v>309</v>
      </c>
      <c r="G11" s="32">
        <v>1</v>
      </c>
      <c r="H11" s="35">
        <v>44595.199999999997</v>
      </c>
      <c r="I11" s="36">
        <v>0.5</v>
      </c>
      <c r="J11" s="37">
        <f>H11*I11</f>
        <v>22297.599999999999</v>
      </c>
      <c r="K11" s="32">
        <v>1</v>
      </c>
      <c r="L11" s="35">
        <f>H11*1.02</f>
        <v>45487.103999999999</v>
      </c>
      <c r="M11" s="36">
        <v>0.5</v>
      </c>
      <c r="N11" s="37">
        <f>L11*M11</f>
        <v>22743.552</v>
      </c>
      <c r="O11" s="37">
        <f t="shared" ref="O11:O17" si="0">N11*$P$3</f>
        <v>6823.0655999999999</v>
      </c>
      <c r="P11" s="81" t="s">
        <v>89</v>
      </c>
      <c r="Q11" s="83"/>
      <c r="R11" s="83"/>
    </row>
    <row r="12" spans="1:18" x14ac:dyDescent="0.2">
      <c r="A12" s="32"/>
      <c r="B12" s="41">
        <v>6163</v>
      </c>
      <c r="C12" s="42"/>
      <c r="D12" s="32" t="s">
        <v>128</v>
      </c>
      <c r="E12" s="32" t="s">
        <v>135</v>
      </c>
      <c r="F12" s="34" t="s">
        <v>309</v>
      </c>
      <c r="G12" s="42">
        <v>1</v>
      </c>
      <c r="H12" s="43">
        <v>46633.599999999999</v>
      </c>
      <c r="I12" s="36">
        <v>1</v>
      </c>
      <c r="J12" s="37">
        <f>H12*I12</f>
        <v>46633.599999999999</v>
      </c>
      <c r="K12" s="42">
        <v>1</v>
      </c>
      <c r="L12" s="35">
        <f>H12*1.02</f>
        <v>47566.271999999997</v>
      </c>
      <c r="M12" s="36">
        <v>0.1</v>
      </c>
      <c r="N12" s="37">
        <f>L12*M12</f>
        <v>4756.6271999999999</v>
      </c>
      <c r="O12" s="37">
        <f t="shared" si="0"/>
        <v>1426.9881599999999</v>
      </c>
      <c r="P12" s="81" t="s">
        <v>89</v>
      </c>
      <c r="Q12" s="83"/>
      <c r="R12" s="83"/>
    </row>
    <row r="13" spans="1:18" x14ac:dyDescent="0.2">
      <c r="A13" s="32"/>
      <c r="B13" s="41">
        <v>6163</v>
      </c>
      <c r="C13" s="42"/>
      <c r="D13" s="32" t="s">
        <v>129</v>
      </c>
      <c r="E13" s="32" t="s">
        <v>135</v>
      </c>
      <c r="F13" s="34" t="s">
        <v>309</v>
      </c>
      <c r="G13" s="42">
        <v>1</v>
      </c>
      <c r="H13" s="43">
        <v>47964.800000000003</v>
      </c>
      <c r="I13" s="36">
        <v>1</v>
      </c>
      <c r="J13" s="37">
        <f>H13*I13</f>
        <v>47964.800000000003</v>
      </c>
      <c r="K13" s="42">
        <v>1</v>
      </c>
      <c r="L13" s="35">
        <f>H13*1.02</f>
        <v>48924.096000000005</v>
      </c>
      <c r="M13" s="36">
        <v>0.1</v>
      </c>
      <c r="N13" s="37">
        <f>L13*M13</f>
        <v>4892.4096000000009</v>
      </c>
      <c r="O13" s="37">
        <f t="shared" si="0"/>
        <v>1467.7228800000003</v>
      </c>
      <c r="P13" s="81" t="s">
        <v>89</v>
      </c>
      <c r="Q13" s="83"/>
      <c r="R13" s="83"/>
    </row>
    <row r="14" spans="1:18" x14ac:dyDescent="0.2">
      <c r="A14" s="32"/>
      <c r="B14" s="33">
        <v>6163</v>
      </c>
      <c r="C14" s="32"/>
      <c r="D14" s="32" t="s">
        <v>130</v>
      </c>
      <c r="E14" s="32" t="s">
        <v>135</v>
      </c>
      <c r="F14" s="34" t="s">
        <v>309</v>
      </c>
      <c r="G14" s="32">
        <v>1</v>
      </c>
      <c r="H14" s="35">
        <v>48568</v>
      </c>
      <c r="I14" s="36">
        <v>0.5</v>
      </c>
      <c r="J14" s="37">
        <f>H14*I14</f>
        <v>24284</v>
      </c>
      <c r="K14" s="32">
        <v>1</v>
      </c>
      <c r="L14" s="35">
        <f>H14*1.02</f>
        <v>49539.360000000001</v>
      </c>
      <c r="M14" s="36">
        <v>0.5</v>
      </c>
      <c r="N14" s="37">
        <f>L14*M14</f>
        <v>24769.68</v>
      </c>
      <c r="O14" s="37">
        <f t="shared" si="0"/>
        <v>7430.9039999999995</v>
      </c>
      <c r="P14" s="81" t="s">
        <v>89</v>
      </c>
      <c r="Q14" s="83"/>
      <c r="R14" s="83"/>
    </row>
    <row r="15" spans="1:18" x14ac:dyDescent="0.2">
      <c r="A15" s="32"/>
      <c r="B15" s="41">
        <v>6163</v>
      </c>
      <c r="C15" s="42"/>
      <c r="D15" s="32" t="s">
        <v>131</v>
      </c>
      <c r="E15" s="32" t="s">
        <v>135</v>
      </c>
      <c r="F15" s="34" t="s">
        <v>309</v>
      </c>
      <c r="G15" s="42">
        <v>1</v>
      </c>
      <c r="H15" s="35">
        <v>43492.800000000003</v>
      </c>
      <c r="I15" s="36">
        <v>1</v>
      </c>
      <c r="J15" s="37">
        <f>H15*I15</f>
        <v>43492.800000000003</v>
      </c>
      <c r="K15" s="42">
        <v>1</v>
      </c>
      <c r="L15" s="35">
        <f>H15*1.02</f>
        <v>44362.656000000003</v>
      </c>
      <c r="M15" s="36">
        <v>0.1</v>
      </c>
      <c r="N15" s="76">
        <f>L15*M15</f>
        <v>4436.2656000000006</v>
      </c>
      <c r="O15" s="76">
        <f t="shared" si="0"/>
        <v>1330.8796800000002</v>
      </c>
      <c r="P15" s="81" t="s">
        <v>89</v>
      </c>
      <c r="Q15" s="83"/>
      <c r="R15" s="83"/>
    </row>
    <row r="16" spans="1:18" x14ac:dyDescent="0.2">
      <c r="A16" s="32"/>
      <c r="B16" s="33"/>
      <c r="C16" s="32"/>
      <c r="D16" s="32"/>
      <c r="E16" s="32"/>
      <c r="F16" s="34"/>
      <c r="G16" s="32"/>
      <c r="H16" s="35"/>
      <c r="I16" s="36"/>
      <c r="J16" s="35"/>
      <c r="K16" s="32"/>
      <c r="L16" s="35"/>
      <c r="M16" s="36"/>
      <c r="N16" s="77">
        <f>SUM(N11:N15)</f>
        <v>61598.534399999997</v>
      </c>
      <c r="O16" s="77">
        <f t="shared" si="0"/>
        <v>18479.560319999997</v>
      </c>
      <c r="P16" s="82"/>
      <c r="Q16" s="82"/>
      <c r="R16" s="82"/>
    </row>
    <row r="17" spans="1:18" x14ac:dyDescent="0.2">
      <c r="A17" s="32"/>
      <c r="B17" s="33"/>
      <c r="C17" s="32"/>
      <c r="D17" s="32"/>
      <c r="E17" s="32"/>
      <c r="F17" s="34"/>
      <c r="G17" s="32"/>
      <c r="H17" s="35"/>
      <c r="I17" s="36"/>
      <c r="J17" s="35"/>
      <c r="K17" s="32"/>
      <c r="L17" s="35"/>
      <c r="M17" s="89" t="s">
        <v>92</v>
      </c>
      <c r="N17" s="35">
        <f>+N16+N9</f>
        <v>248617.48248672002</v>
      </c>
      <c r="O17" s="35">
        <f t="shared" si="0"/>
        <v>74585.244746016004</v>
      </c>
      <c r="P17" s="83"/>
      <c r="Q17" s="83"/>
      <c r="R17" s="84"/>
    </row>
    <row r="18" spans="1:18" x14ac:dyDescent="0.2">
      <c r="A18" s="32"/>
      <c r="B18" s="33"/>
      <c r="C18" s="32"/>
      <c r="D18" s="32"/>
      <c r="E18" s="32"/>
      <c r="F18" s="34"/>
      <c r="G18" s="32"/>
      <c r="H18" s="35"/>
      <c r="I18" s="36"/>
      <c r="J18" s="35"/>
      <c r="K18" s="32"/>
      <c r="L18" s="35"/>
      <c r="M18" s="88" t="s">
        <v>136</v>
      </c>
      <c r="N18" s="35"/>
      <c r="O18" s="90">
        <f>+O17+N17</f>
        <v>323202.72723273601</v>
      </c>
      <c r="P18" s="80"/>
      <c r="Q18" s="80"/>
      <c r="R18" s="80"/>
    </row>
    <row r="19" spans="1:18" x14ac:dyDescent="0.2">
      <c r="A19" s="32"/>
      <c r="B19" s="33"/>
      <c r="C19" s="32"/>
      <c r="D19" s="32"/>
      <c r="E19" s="32"/>
      <c r="F19" s="34"/>
      <c r="G19" s="32"/>
      <c r="H19" s="35"/>
      <c r="I19" s="36"/>
      <c r="J19" s="35"/>
      <c r="K19" s="32"/>
      <c r="L19" s="44"/>
      <c r="M19" s="45"/>
      <c r="N19" s="35"/>
      <c r="O19" s="35"/>
      <c r="R19" s="80"/>
    </row>
    <row r="20" spans="1:18" x14ac:dyDescent="0.2">
      <c r="A20" s="70"/>
      <c r="B20" s="71"/>
      <c r="C20" s="72"/>
      <c r="D20" s="70"/>
      <c r="E20" s="70"/>
      <c r="F20" s="73"/>
      <c r="G20" s="32"/>
      <c r="H20" s="35"/>
      <c r="I20" s="36"/>
      <c r="J20" s="35"/>
      <c r="K20" s="32"/>
      <c r="L20" s="85"/>
      <c r="M20" s="86"/>
      <c r="N20" s="35"/>
      <c r="O20" s="35"/>
      <c r="R20" s="80"/>
    </row>
    <row r="21" spans="1:18" x14ac:dyDescent="0.2">
      <c r="A21" s="70"/>
      <c r="B21" s="74"/>
      <c r="C21" s="72"/>
      <c r="D21" s="70"/>
      <c r="E21" s="70"/>
      <c r="F21" s="74"/>
      <c r="G21" s="32"/>
      <c r="H21" s="35"/>
      <c r="I21" s="36"/>
      <c r="J21" s="35"/>
      <c r="K21" s="32"/>
      <c r="L21" s="87"/>
      <c r="M21" s="86"/>
      <c r="N21" s="75"/>
      <c r="O21" s="75"/>
      <c r="R21" s="80"/>
    </row>
    <row r="43" ht="11" customHeight="1" x14ac:dyDescent="0.2"/>
  </sheetData>
  <mergeCells count="1">
    <mergeCell ref="P4: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baseColWidth="10" defaultColWidth="8.7109375" defaultRowHeight="14" x14ac:dyDescent="0.2"/>
  <cols>
    <col min="2" max="2" width="15.28515625" customWidth="1"/>
    <col min="3" max="3" width="11.28515625" customWidth="1"/>
    <col min="4" max="4" width="9.7109375" customWidth="1"/>
    <col min="5" max="5" width="11" bestFit="1" customWidth="1"/>
    <col min="6" max="6" width="12" bestFit="1" customWidth="1"/>
    <col min="7" max="7" width="13" customWidth="1"/>
    <col min="8" max="8" width="10.7109375" bestFit="1" customWidth="1"/>
    <col min="9" max="9" width="18.42578125" bestFit="1" customWidth="1"/>
    <col min="10" max="10" width="10.5703125" bestFit="1" customWidth="1"/>
    <col min="12" max="12" width="18.42578125" bestFit="1" customWidth="1"/>
    <col min="13" max="13" width="42.140625" bestFit="1" customWidth="1"/>
  </cols>
  <sheetData>
    <row r="1" spans="1:10" x14ac:dyDescent="0.2">
      <c r="A1" s="52" t="s">
        <v>270</v>
      </c>
    </row>
    <row r="2" spans="1:10" s="53" customFormat="1" x14ac:dyDescent="0.2">
      <c r="E2" s="54" t="s">
        <v>102</v>
      </c>
      <c r="F2" s="54" t="s">
        <v>103</v>
      </c>
      <c r="G2" s="54" t="s">
        <v>104</v>
      </c>
      <c r="H2" s="54" t="s">
        <v>93</v>
      </c>
      <c r="I2" s="54" t="s">
        <v>106</v>
      </c>
    </row>
    <row r="3" spans="1:10" x14ac:dyDescent="0.2">
      <c r="A3">
        <v>0.34499999999999997</v>
      </c>
      <c r="B3" t="s">
        <v>94</v>
      </c>
      <c r="D3" t="s">
        <v>105</v>
      </c>
      <c r="E3">
        <v>2080</v>
      </c>
      <c r="F3">
        <v>2080</v>
      </c>
      <c r="G3">
        <v>2080</v>
      </c>
      <c r="I3" t="s">
        <v>110</v>
      </c>
    </row>
    <row r="4" spans="1:10" x14ac:dyDescent="0.2">
      <c r="A4">
        <v>0.05</v>
      </c>
      <c r="B4" t="s">
        <v>95</v>
      </c>
      <c r="D4" t="s">
        <v>115</v>
      </c>
      <c r="E4">
        <v>104</v>
      </c>
      <c r="F4">
        <v>104</v>
      </c>
      <c r="G4">
        <v>104</v>
      </c>
      <c r="I4" t="s">
        <v>112</v>
      </c>
      <c r="J4" t="s">
        <v>111</v>
      </c>
    </row>
    <row r="5" spans="1:10" x14ac:dyDescent="0.2">
      <c r="D5" t="s">
        <v>116</v>
      </c>
      <c r="E5">
        <v>160</v>
      </c>
      <c r="F5">
        <v>120</v>
      </c>
      <c r="G5">
        <v>160</v>
      </c>
      <c r="J5" t="s">
        <v>114</v>
      </c>
    </row>
    <row r="6" spans="1:10" x14ac:dyDescent="0.2">
      <c r="D6" s="46" t="s">
        <v>96</v>
      </c>
      <c r="E6" s="56">
        <v>88</v>
      </c>
      <c r="F6" s="56">
        <v>88</v>
      </c>
      <c r="G6" s="56">
        <v>88</v>
      </c>
      <c r="J6" t="s">
        <v>113</v>
      </c>
    </row>
    <row r="7" spans="1:10" x14ac:dyDescent="0.2">
      <c r="D7" t="s">
        <v>97</v>
      </c>
      <c r="E7">
        <f>+E3-E4-E5-E6</f>
        <v>1728</v>
      </c>
      <c r="F7">
        <f>+F3-F4-F5-F6</f>
        <v>1768</v>
      </c>
      <c r="G7">
        <f>+G3-G4-G5-G6</f>
        <v>1728</v>
      </c>
    </row>
    <row r="8" spans="1:10" x14ac:dyDescent="0.2">
      <c r="D8" s="46" t="s">
        <v>98</v>
      </c>
      <c r="E8">
        <f>+E7*$A$4</f>
        <v>86.4</v>
      </c>
      <c r="F8">
        <f>+F7*$A$4</f>
        <v>88.4</v>
      </c>
      <c r="G8">
        <f>+G7*$A$4</f>
        <v>86.4</v>
      </c>
      <c r="I8" t="s">
        <v>117</v>
      </c>
    </row>
    <row r="9" spans="1:10" ht="15" x14ac:dyDescent="0.2">
      <c r="D9" s="47" t="s">
        <v>99</v>
      </c>
      <c r="E9" s="48">
        <f>+E7-E8</f>
        <v>1641.6</v>
      </c>
      <c r="F9" s="48">
        <f>+F7-F8</f>
        <v>1679.6</v>
      </c>
      <c r="G9" s="48">
        <f>+G7-G8</f>
        <v>1641.6</v>
      </c>
      <c r="H9" s="49">
        <f>SUM(E9:G9)</f>
        <v>4962.7999999999993</v>
      </c>
      <c r="I9" t="s">
        <v>118</v>
      </c>
    </row>
    <row r="11" spans="1:10" ht="28" x14ac:dyDescent="0.2">
      <c r="C11" s="57" t="s">
        <v>107</v>
      </c>
      <c r="D11" s="57" t="s">
        <v>108</v>
      </c>
      <c r="E11" s="57" t="s">
        <v>109</v>
      </c>
      <c r="F11" s="57" t="s">
        <v>100</v>
      </c>
      <c r="G11" s="57" t="s">
        <v>119</v>
      </c>
    </row>
    <row r="12" spans="1:10" x14ac:dyDescent="0.2">
      <c r="B12" s="55" t="s">
        <v>102</v>
      </c>
      <c r="C12" s="50">
        <f>17.68*1.02</f>
        <v>18.0336</v>
      </c>
      <c r="D12" s="50">
        <f>+C12*$A$3</f>
        <v>6.2215919999999993</v>
      </c>
      <c r="E12" s="50">
        <f>SUM(C12:D12)</f>
        <v>24.255192000000001</v>
      </c>
      <c r="F12" s="58">
        <f>+E12*E3</f>
        <v>50450.799360000005</v>
      </c>
      <c r="G12" s="63">
        <f>E12*E9</f>
        <v>39817.323187199996</v>
      </c>
      <c r="H12" s="62"/>
    </row>
    <row r="13" spans="1:10" x14ac:dyDescent="0.2">
      <c r="B13" s="55" t="s">
        <v>103</v>
      </c>
      <c r="C13" s="50">
        <f>13.13*1.02</f>
        <v>13.392600000000002</v>
      </c>
      <c r="D13" s="50">
        <f>+C13*$A$3</f>
        <v>4.6204470000000004</v>
      </c>
      <c r="E13" s="50">
        <f>SUM(C13:D13)</f>
        <v>18.013047</v>
      </c>
      <c r="F13" s="58">
        <f>+E13*F3</f>
        <v>37467.137759999998</v>
      </c>
      <c r="G13" s="63">
        <f>E13*F9</f>
        <v>30254.713741199997</v>
      </c>
    </row>
    <row r="14" spans="1:10" x14ac:dyDescent="0.2">
      <c r="B14" s="55" t="s">
        <v>104</v>
      </c>
      <c r="C14" s="50">
        <f>13.37*1.02</f>
        <v>13.6374</v>
      </c>
      <c r="D14" s="50">
        <f>+C14*$A$3</f>
        <v>4.7049029999999998</v>
      </c>
      <c r="E14" s="50">
        <f>SUM(C14:D14)</f>
        <v>18.342303000000001</v>
      </c>
      <c r="F14" s="61">
        <f>+E14*G3</f>
        <v>38151.990239999999</v>
      </c>
      <c r="G14" s="64">
        <f>E14*G9</f>
        <v>30110.724604800002</v>
      </c>
    </row>
    <row r="15" spans="1:10" x14ac:dyDescent="0.2">
      <c r="B15" s="52" t="s">
        <v>101</v>
      </c>
      <c r="E15" s="50"/>
      <c r="F15" s="58">
        <f>SUM(F12:F14)</f>
        <v>126069.92736</v>
      </c>
      <c r="G15" s="63">
        <f>SUM(G12:G14)</f>
        <v>100182.76153319998</v>
      </c>
    </row>
    <row r="16" spans="1:10" x14ac:dyDescent="0.2">
      <c r="F16" s="59"/>
      <c r="G16" s="63"/>
    </row>
    <row r="17" spans="1:7" ht="15" thickBot="1" x14ac:dyDescent="0.25">
      <c r="B17" s="52" t="s">
        <v>178</v>
      </c>
      <c r="F17" s="60"/>
      <c r="G17" s="65">
        <f>G15/H9</f>
        <v>20.186741664624808</v>
      </c>
    </row>
    <row r="18" spans="1:7" ht="15" thickTop="1" x14ac:dyDescent="0.2"/>
    <row r="19" spans="1:7" x14ac:dyDescent="0.2">
      <c r="F19" s="51"/>
    </row>
    <row r="20" spans="1:7" x14ac:dyDescent="0.2">
      <c r="A20" t="s">
        <v>121</v>
      </c>
      <c r="C20" t="s">
        <v>120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L44"/>
  <sheetViews>
    <sheetView workbookViewId="0">
      <selection sqref="A1:G1"/>
    </sheetView>
  </sheetViews>
  <sheetFormatPr baseColWidth="10" defaultColWidth="8.7109375" defaultRowHeight="14" x14ac:dyDescent="0.2"/>
  <cols>
    <col min="1" max="1" width="34.28515625" style="139" bestFit="1" customWidth="1"/>
    <col min="2" max="2" width="12" style="139" hidden="1" customWidth="1"/>
    <col min="3" max="4" width="12" style="139" customWidth="1"/>
    <col min="5" max="5" width="12.140625" style="139" hidden="1" customWidth="1"/>
    <col min="6" max="6" width="13.5703125" style="139" hidden="1" customWidth="1"/>
    <col min="7" max="7" width="36.85546875" style="181" hidden="1" customWidth="1"/>
    <col min="8" max="8" width="12.42578125" style="182" customWidth="1"/>
    <col min="9" max="9" width="12.5703125" style="139" customWidth="1"/>
    <col min="10" max="10" width="3.5703125" style="139" customWidth="1"/>
    <col min="11" max="11" width="11.7109375" style="139" customWidth="1"/>
    <col min="12" max="12" width="36" style="139" bestFit="1" customWidth="1"/>
  </cols>
  <sheetData>
    <row r="1" spans="1:12" ht="14" customHeight="1" x14ac:dyDescent="0.2">
      <c r="A1" s="305" t="s">
        <v>234</v>
      </c>
      <c r="B1" s="305"/>
      <c r="C1" s="305"/>
      <c r="D1" s="305"/>
      <c r="E1" s="305"/>
      <c r="F1" s="305"/>
      <c r="G1" s="305"/>
      <c r="H1" s="136"/>
      <c r="I1" s="137"/>
      <c r="J1" s="138"/>
      <c r="K1" s="138"/>
    </row>
    <row r="2" spans="1:12" ht="23" thickBot="1" x14ac:dyDescent="0.25">
      <c r="A2" s="138"/>
      <c r="B2" s="138"/>
      <c r="C2" s="138"/>
      <c r="D2" s="138"/>
      <c r="E2" s="138"/>
      <c r="F2" s="138"/>
      <c r="G2" s="140"/>
      <c r="H2" s="141"/>
      <c r="I2" s="138"/>
      <c r="J2" s="138"/>
      <c r="K2" s="210" t="s">
        <v>242</v>
      </c>
    </row>
    <row r="3" spans="1:12" ht="24" thickBot="1" x14ac:dyDescent="0.25">
      <c r="A3" s="142"/>
      <c r="B3" s="143" t="s">
        <v>179</v>
      </c>
      <c r="C3" s="143" t="s">
        <v>180</v>
      </c>
      <c r="D3" s="143" t="s">
        <v>181</v>
      </c>
      <c r="E3" s="143" t="s">
        <v>182</v>
      </c>
      <c r="F3" s="144" t="s">
        <v>183</v>
      </c>
      <c r="G3" s="144" t="s">
        <v>106</v>
      </c>
      <c r="H3" s="144" t="s">
        <v>184</v>
      </c>
      <c r="I3" s="143" t="s">
        <v>185</v>
      </c>
      <c r="J3" s="145"/>
      <c r="K3" s="146" t="s">
        <v>186</v>
      </c>
      <c r="L3" s="147"/>
    </row>
    <row r="4" spans="1:12" ht="15" thickBot="1" x14ac:dyDescent="0.25">
      <c r="A4" s="148" t="s">
        <v>187</v>
      </c>
      <c r="B4" s="149"/>
      <c r="C4" s="149"/>
      <c r="D4" s="150"/>
      <c r="E4" s="149"/>
      <c r="F4" s="151"/>
      <c r="G4" s="152"/>
      <c r="H4" s="153"/>
      <c r="I4" s="154"/>
      <c r="J4" s="155"/>
      <c r="K4" s="156"/>
      <c r="L4" s="157"/>
    </row>
    <row r="5" spans="1:12" ht="15" thickBot="1" x14ac:dyDescent="0.25">
      <c r="A5" s="158" t="s">
        <v>188</v>
      </c>
      <c r="B5" s="159">
        <v>0</v>
      </c>
      <c r="C5" s="159">
        <v>0</v>
      </c>
      <c r="D5" s="173">
        <v>16.739999999999998</v>
      </c>
      <c r="E5" s="159">
        <v>0</v>
      </c>
      <c r="F5" s="161">
        <v>500</v>
      </c>
      <c r="G5" s="162"/>
      <c r="H5" s="174">
        <v>16.739999999999998</v>
      </c>
      <c r="I5" s="160">
        <f>C5-H5</f>
        <v>-16.739999999999998</v>
      </c>
      <c r="J5" s="176"/>
      <c r="K5" s="177">
        <v>100</v>
      </c>
      <c r="L5" s="163"/>
    </row>
    <row r="6" spans="1:12" ht="15" thickBot="1" x14ac:dyDescent="0.25">
      <c r="A6" s="158" t="s">
        <v>189</v>
      </c>
      <c r="B6" s="159">
        <v>16875.82</v>
      </c>
      <c r="C6" s="159">
        <v>7000</v>
      </c>
      <c r="D6" s="173">
        <v>898.1</v>
      </c>
      <c r="E6" s="159">
        <v>0</v>
      </c>
      <c r="F6" s="161">
        <v>6389.3</v>
      </c>
      <c r="G6" s="162" t="s">
        <v>190</v>
      </c>
      <c r="H6" s="174">
        <v>7000</v>
      </c>
      <c r="I6" s="160">
        <f t="shared" ref="I6:I41" si="0">C6-H6</f>
        <v>0</v>
      </c>
      <c r="J6" s="176"/>
      <c r="K6" s="177">
        <v>10000</v>
      </c>
      <c r="L6" s="163"/>
    </row>
    <row r="7" spans="1:12" ht="15" thickBot="1" x14ac:dyDescent="0.25">
      <c r="A7" s="158" t="s">
        <v>191</v>
      </c>
      <c r="B7" s="159">
        <v>3542.18</v>
      </c>
      <c r="C7" s="159">
        <v>6000</v>
      </c>
      <c r="D7" s="173">
        <v>11549.18</v>
      </c>
      <c r="E7" s="159">
        <v>0</v>
      </c>
      <c r="F7" s="161">
        <v>6000</v>
      </c>
      <c r="G7" s="162" t="s">
        <v>192</v>
      </c>
      <c r="H7" s="174">
        <v>15000</v>
      </c>
      <c r="I7" s="160">
        <f t="shared" si="0"/>
        <v>-9000</v>
      </c>
      <c r="J7" s="176"/>
      <c r="K7" s="177">
        <v>6000</v>
      </c>
      <c r="L7" s="163"/>
    </row>
    <row r="8" spans="1:12" s="52" customFormat="1" ht="15" thickBot="1" x14ac:dyDescent="0.25">
      <c r="A8" s="165" t="s">
        <v>235</v>
      </c>
      <c r="B8" s="183"/>
      <c r="C8" s="192">
        <f>SUM(C5:C7)</f>
        <v>13000</v>
      </c>
      <c r="D8" s="192">
        <f t="shared" ref="D8:K8" si="1">SUM(D5:D7)</f>
        <v>12464.02</v>
      </c>
      <c r="E8" s="192">
        <f t="shared" si="1"/>
        <v>0</v>
      </c>
      <c r="F8" s="192">
        <f t="shared" si="1"/>
        <v>12889.3</v>
      </c>
      <c r="G8" s="192">
        <f t="shared" si="1"/>
        <v>0</v>
      </c>
      <c r="H8" s="192">
        <f t="shared" si="1"/>
        <v>22016.739999999998</v>
      </c>
      <c r="I8" s="192">
        <f t="shared" si="1"/>
        <v>-9016.74</v>
      </c>
      <c r="J8" s="176"/>
      <c r="K8" s="192">
        <f t="shared" si="1"/>
        <v>16100</v>
      </c>
      <c r="L8" s="169"/>
    </row>
    <row r="9" spans="1:12" ht="15" thickBot="1" x14ac:dyDescent="0.25">
      <c r="A9" s="158" t="s">
        <v>193</v>
      </c>
      <c r="B9" s="159">
        <v>2899.87</v>
      </c>
      <c r="C9" s="184">
        <v>10000</v>
      </c>
      <c r="D9" s="185">
        <v>5422.53</v>
      </c>
      <c r="E9" s="186">
        <v>2295</v>
      </c>
      <c r="F9" s="187">
        <v>-1811</v>
      </c>
      <c r="G9" s="188"/>
      <c r="H9" s="189">
        <v>11000</v>
      </c>
      <c r="I9" s="190">
        <f t="shared" si="0"/>
        <v>-1000</v>
      </c>
      <c r="J9" s="176"/>
      <c r="K9" s="191">
        <v>12000</v>
      </c>
      <c r="L9" s="163"/>
    </row>
    <row r="10" spans="1:12" ht="15" thickBot="1" x14ac:dyDescent="0.25">
      <c r="A10" s="158" t="s">
        <v>194</v>
      </c>
      <c r="B10" s="159">
        <v>22493.64</v>
      </c>
      <c r="C10" s="159">
        <v>10000</v>
      </c>
      <c r="D10" s="173">
        <v>23996.94</v>
      </c>
      <c r="E10" s="159">
        <v>6000</v>
      </c>
      <c r="F10" s="161">
        <v>12006.9</v>
      </c>
      <c r="G10" s="162" t="s">
        <v>195</v>
      </c>
      <c r="H10" s="174">
        <v>30000</v>
      </c>
      <c r="I10" s="160">
        <f t="shared" si="0"/>
        <v>-20000</v>
      </c>
      <c r="J10" s="176"/>
      <c r="K10" s="177">
        <v>30000</v>
      </c>
      <c r="L10" s="163"/>
    </row>
    <row r="11" spans="1:12" ht="15" thickBot="1" x14ac:dyDescent="0.25">
      <c r="A11" s="158" t="s">
        <v>196</v>
      </c>
      <c r="B11" s="159">
        <v>271.95</v>
      </c>
      <c r="C11" s="159">
        <v>1000</v>
      </c>
      <c r="D11" s="173">
        <v>149</v>
      </c>
      <c r="E11" s="159">
        <v>0</v>
      </c>
      <c r="F11" s="161">
        <v>1000</v>
      </c>
      <c r="G11" s="162"/>
      <c r="H11" s="174">
        <v>500</v>
      </c>
      <c r="I11" s="160">
        <f t="shared" si="0"/>
        <v>500</v>
      </c>
      <c r="J11" s="176"/>
      <c r="K11" s="177">
        <v>500</v>
      </c>
      <c r="L11" s="163"/>
    </row>
    <row r="12" spans="1:12" ht="15" thickBot="1" x14ac:dyDescent="0.25">
      <c r="A12" s="158" t="s">
        <v>197</v>
      </c>
      <c r="B12" s="159">
        <v>601</v>
      </c>
      <c r="C12" s="159">
        <v>1000</v>
      </c>
      <c r="D12" s="173">
        <v>0</v>
      </c>
      <c r="E12" s="159">
        <v>0</v>
      </c>
      <c r="F12" s="161">
        <v>600</v>
      </c>
      <c r="G12" s="162" t="s">
        <v>198</v>
      </c>
      <c r="H12" s="174">
        <v>651</v>
      </c>
      <c r="I12" s="160">
        <f t="shared" si="0"/>
        <v>349</v>
      </c>
      <c r="J12" s="176"/>
      <c r="K12" s="177">
        <v>0</v>
      </c>
      <c r="L12" s="163"/>
    </row>
    <row r="13" spans="1:12" ht="15" thickBot="1" x14ac:dyDescent="0.25">
      <c r="A13" s="158" t="s">
        <v>199</v>
      </c>
      <c r="B13" s="159">
        <v>17842.5</v>
      </c>
      <c r="C13" s="159">
        <v>12000</v>
      </c>
      <c r="D13" s="173">
        <v>6951.28</v>
      </c>
      <c r="E13" s="159">
        <v>4015.5</v>
      </c>
      <c r="F13" s="161">
        <v>-2479.5</v>
      </c>
      <c r="G13" s="162" t="s">
        <v>200</v>
      </c>
      <c r="H13" s="174">
        <v>12000</v>
      </c>
      <c r="I13" s="160">
        <f t="shared" si="0"/>
        <v>0</v>
      </c>
      <c r="J13" s="176"/>
      <c r="K13" s="177">
        <v>15000</v>
      </c>
      <c r="L13" s="163"/>
    </row>
    <row r="14" spans="1:12" ht="15" thickBot="1" x14ac:dyDescent="0.25">
      <c r="A14" s="158" t="s">
        <v>201</v>
      </c>
      <c r="B14" s="159">
        <v>9129</v>
      </c>
      <c r="C14" s="159">
        <v>3000</v>
      </c>
      <c r="D14" s="173">
        <v>11046</v>
      </c>
      <c r="E14" s="159">
        <v>0</v>
      </c>
      <c r="F14" s="161">
        <v>-42</v>
      </c>
      <c r="G14" s="162" t="s">
        <v>202</v>
      </c>
      <c r="H14" s="174">
        <v>11046</v>
      </c>
      <c r="I14" s="160">
        <f t="shared" si="0"/>
        <v>-8046</v>
      </c>
      <c r="J14" s="176"/>
      <c r="K14" s="177">
        <v>0</v>
      </c>
      <c r="L14" s="178"/>
    </row>
    <row r="15" spans="1:12" ht="15" thickBot="1" x14ac:dyDescent="0.25">
      <c r="A15" s="158" t="s">
        <v>226</v>
      </c>
      <c r="B15" s="159">
        <v>4161</v>
      </c>
      <c r="C15" s="159">
        <v>10000</v>
      </c>
      <c r="D15" s="173">
        <v>4253.09</v>
      </c>
      <c r="E15" s="159">
        <v>0</v>
      </c>
      <c r="F15" s="161">
        <v>1347.39</v>
      </c>
      <c r="G15" s="179"/>
      <c r="H15" s="174">
        <v>10000</v>
      </c>
      <c r="I15" s="160">
        <f>C15-H15</f>
        <v>0</v>
      </c>
      <c r="J15" s="176"/>
      <c r="K15" s="177">
        <v>12000</v>
      </c>
      <c r="L15" s="178"/>
    </row>
    <row r="16" spans="1:12" ht="15" thickBot="1" x14ac:dyDescent="0.25">
      <c r="A16" s="158" t="s">
        <v>223</v>
      </c>
      <c r="B16" s="159">
        <v>58.25</v>
      </c>
      <c r="C16" s="159">
        <v>500</v>
      </c>
      <c r="D16" s="173">
        <v>0</v>
      </c>
      <c r="E16" s="159">
        <v>0</v>
      </c>
      <c r="F16" s="161">
        <v>500</v>
      </c>
      <c r="G16" s="162"/>
      <c r="H16" s="174">
        <v>0</v>
      </c>
      <c r="I16" s="160">
        <f>C16-H16</f>
        <v>500</v>
      </c>
      <c r="J16" s="176"/>
      <c r="K16" s="177">
        <v>0</v>
      </c>
      <c r="L16" s="163"/>
    </row>
    <row r="17" spans="1:12" s="52" customFormat="1" ht="15" thickBot="1" x14ac:dyDescent="0.25">
      <c r="A17" s="165" t="s">
        <v>236</v>
      </c>
      <c r="B17" s="183"/>
      <c r="C17" s="192">
        <f>SUM(C9:C15)</f>
        <v>47000</v>
      </c>
      <c r="D17" s="192">
        <f>SUM(D9:D15)</f>
        <v>51818.84</v>
      </c>
      <c r="E17" s="192">
        <f>SUM(E12:E14)</f>
        <v>4015.5</v>
      </c>
      <c r="F17" s="192">
        <f>SUM(F12:F14)</f>
        <v>-1921.5</v>
      </c>
      <c r="G17" s="192">
        <f>SUM(G12:G14)</f>
        <v>0</v>
      </c>
      <c r="H17" s="192">
        <f>SUM(H9:H15)</f>
        <v>75197</v>
      </c>
      <c r="I17" s="192">
        <f>SUM(I9:I15)</f>
        <v>-28197</v>
      </c>
      <c r="J17" s="176"/>
      <c r="K17" s="192">
        <f>SUM(K9:K15)</f>
        <v>69500</v>
      </c>
      <c r="L17" s="194"/>
    </row>
    <row r="18" spans="1:12" ht="15" thickBot="1" x14ac:dyDescent="0.25">
      <c r="A18" s="158" t="s">
        <v>203</v>
      </c>
      <c r="B18" s="159">
        <v>4482.6400000000003</v>
      </c>
      <c r="C18" s="159">
        <v>5000</v>
      </c>
      <c r="D18" s="173">
        <v>2655.07</v>
      </c>
      <c r="E18" s="159">
        <v>0</v>
      </c>
      <c r="F18" s="161">
        <v>3371.57</v>
      </c>
      <c r="G18" s="162"/>
      <c r="H18" s="174">
        <v>5500</v>
      </c>
      <c r="I18" s="160">
        <f t="shared" si="0"/>
        <v>-500</v>
      </c>
      <c r="J18" s="176"/>
      <c r="K18" s="177">
        <v>6000</v>
      </c>
      <c r="L18" s="163"/>
    </row>
    <row r="19" spans="1:12" ht="15" thickBot="1" x14ac:dyDescent="0.25">
      <c r="A19" s="158" t="s">
        <v>204</v>
      </c>
      <c r="B19" s="159">
        <v>88663.99</v>
      </c>
      <c r="C19" s="159">
        <v>90000</v>
      </c>
      <c r="D19" s="173">
        <v>35461.56</v>
      </c>
      <c r="E19" s="159">
        <v>0.06</v>
      </c>
      <c r="F19" s="161">
        <v>61048.27</v>
      </c>
      <c r="G19" s="162"/>
      <c r="H19" s="174">
        <v>75000</v>
      </c>
      <c r="I19" s="160">
        <f t="shared" si="0"/>
        <v>15000</v>
      </c>
      <c r="J19" s="176"/>
      <c r="K19" s="177">
        <v>80000</v>
      </c>
      <c r="L19" s="163"/>
    </row>
    <row r="20" spans="1:12" ht="15" thickBot="1" x14ac:dyDescent="0.25">
      <c r="A20" s="158" t="s">
        <v>205</v>
      </c>
      <c r="B20" s="159">
        <v>13507.41</v>
      </c>
      <c r="C20" s="159">
        <v>14000</v>
      </c>
      <c r="D20" s="173">
        <v>5363.76</v>
      </c>
      <c r="E20" s="159">
        <v>0</v>
      </c>
      <c r="F20" s="161">
        <v>12098.03</v>
      </c>
      <c r="G20" s="162"/>
      <c r="H20" s="174">
        <v>12000</v>
      </c>
      <c r="I20" s="160">
        <f t="shared" si="0"/>
        <v>2000</v>
      </c>
      <c r="J20" s="176"/>
      <c r="K20" s="177">
        <v>14000</v>
      </c>
      <c r="L20" s="163"/>
    </row>
    <row r="21" spans="1:12" ht="15" thickBot="1" x14ac:dyDescent="0.25">
      <c r="A21" s="158" t="s">
        <v>206</v>
      </c>
      <c r="B21" s="159">
        <v>7926.17</v>
      </c>
      <c r="C21" s="159">
        <v>6000</v>
      </c>
      <c r="D21" s="173">
        <v>1644.95</v>
      </c>
      <c r="E21" s="159">
        <v>0</v>
      </c>
      <c r="F21" s="161">
        <v>8429.92</v>
      </c>
      <c r="G21" s="162"/>
      <c r="H21" s="174">
        <v>4000</v>
      </c>
      <c r="I21" s="160">
        <f t="shared" si="0"/>
        <v>2000</v>
      </c>
      <c r="J21" s="176"/>
      <c r="K21" s="177">
        <v>5000</v>
      </c>
      <c r="L21" s="163"/>
    </row>
    <row r="22" spans="1:12" ht="15" thickBot="1" x14ac:dyDescent="0.25">
      <c r="A22" s="158" t="s">
        <v>207</v>
      </c>
      <c r="B22" s="159">
        <v>19086.150000000001</v>
      </c>
      <c r="C22" s="159">
        <v>16000</v>
      </c>
      <c r="D22" s="173">
        <v>4554.84</v>
      </c>
      <c r="E22" s="159">
        <v>0</v>
      </c>
      <c r="F22" s="161">
        <v>15243.14</v>
      </c>
      <c r="G22" s="162"/>
      <c r="H22" s="174">
        <v>10000</v>
      </c>
      <c r="I22" s="160">
        <f t="shared" si="0"/>
        <v>6000</v>
      </c>
      <c r="J22" s="176"/>
      <c r="K22" s="177">
        <v>12000</v>
      </c>
      <c r="L22" s="163"/>
    </row>
    <row r="23" spans="1:12" ht="15" thickBot="1" x14ac:dyDescent="0.25">
      <c r="A23" s="158" t="s">
        <v>208</v>
      </c>
      <c r="B23" s="159">
        <v>0</v>
      </c>
      <c r="C23" s="159">
        <v>0</v>
      </c>
      <c r="D23" s="173">
        <v>9.58</v>
      </c>
      <c r="E23" s="159">
        <v>0</v>
      </c>
      <c r="F23" s="161">
        <v>0</v>
      </c>
      <c r="G23" s="162"/>
      <c r="H23" s="174">
        <v>9.58</v>
      </c>
      <c r="I23" s="160">
        <f t="shared" si="0"/>
        <v>-9.58</v>
      </c>
      <c r="J23" s="176"/>
      <c r="K23" s="177">
        <v>0</v>
      </c>
      <c r="L23" s="163"/>
    </row>
    <row r="24" spans="1:12" ht="15" thickBot="1" x14ac:dyDescent="0.25">
      <c r="A24" s="158" t="s">
        <v>209</v>
      </c>
      <c r="B24" s="159">
        <v>4114.28</v>
      </c>
      <c r="C24" s="159">
        <v>1500</v>
      </c>
      <c r="D24" s="173">
        <v>433.06</v>
      </c>
      <c r="E24" s="159">
        <v>36.590000000000003</v>
      </c>
      <c r="F24" s="161">
        <v>2580.85</v>
      </c>
      <c r="G24" s="162"/>
      <c r="H24" s="174">
        <v>1000</v>
      </c>
      <c r="I24" s="160">
        <f t="shared" si="0"/>
        <v>500</v>
      </c>
      <c r="J24" s="176"/>
      <c r="K24" s="177">
        <v>1000</v>
      </c>
      <c r="L24" s="178"/>
    </row>
    <row r="25" spans="1:12" ht="15" thickBot="1" x14ac:dyDescent="0.25">
      <c r="A25" s="158" t="s">
        <v>210</v>
      </c>
      <c r="B25" s="159"/>
      <c r="C25" s="159">
        <v>0</v>
      </c>
      <c r="D25" s="173">
        <v>276.99</v>
      </c>
      <c r="E25" s="159"/>
      <c r="F25" s="161"/>
      <c r="G25" s="162"/>
      <c r="H25" s="174">
        <v>600</v>
      </c>
      <c r="I25" s="160">
        <f t="shared" si="0"/>
        <v>-600</v>
      </c>
      <c r="J25" s="176"/>
      <c r="K25" s="177">
        <v>600</v>
      </c>
      <c r="L25" s="178"/>
    </row>
    <row r="26" spans="1:12" ht="15" thickBot="1" x14ac:dyDescent="0.25">
      <c r="A26" s="158" t="s">
        <v>211</v>
      </c>
      <c r="B26" s="159">
        <v>1423.77</v>
      </c>
      <c r="C26" s="159">
        <v>3000</v>
      </c>
      <c r="D26" s="173">
        <v>381.11</v>
      </c>
      <c r="E26" s="159">
        <v>0</v>
      </c>
      <c r="F26" s="161">
        <v>2840.02</v>
      </c>
      <c r="G26" s="162" t="s">
        <v>212</v>
      </c>
      <c r="H26" s="174">
        <v>2500</v>
      </c>
      <c r="I26" s="160">
        <f t="shared" si="0"/>
        <v>500</v>
      </c>
      <c r="J26" s="176"/>
      <c r="K26" s="177">
        <v>3000</v>
      </c>
      <c r="L26" s="163"/>
    </row>
    <row r="27" spans="1:12" s="52" customFormat="1" ht="15" thickBot="1" x14ac:dyDescent="0.25">
      <c r="A27" s="165" t="s">
        <v>237</v>
      </c>
      <c r="B27" s="183"/>
      <c r="C27" s="192">
        <f>SUM(C18:C26)</f>
        <v>135500</v>
      </c>
      <c r="D27" s="192">
        <f>SUM(D18:D26)</f>
        <v>50780.919999999991</v>
      </c>
      <c r="E27" s="192">
        <f>SUM(E24:E26)</f>
        <v>36.590000000000003</v>
      </c>
      <c r="F27" s="192">
        <f>SUM(F24:F26)</f>
        <v>5420.87</v>
      </c>
      <c r="G27" s="192">
        <f>SUM(G24:G26)</f>
        <v>0</v>
      </c>
      <c r="H27" s="192">
        <f>SUM(H18:H26)</f>
        <v>110609.58</v>
      </c>
      <c r="I27" s="192">
        <f>SUM(I18:I26)</f>
        <v>24890.42</v>
      </c>
      <c r="J27" s="176"/>
      <c r="K27" s="192">
        <f>SUM(K18:K26)</f>
        <v>121600</v>
      </c>
      <c r="L27" s="194"/>
    </row>
    <row r="28" spans="1:12" ht="15" thickBot="1" x14ac:dyDescent="0.25">
      <c r="A28" s="158" t="s">
        <v>213</v>
      </c>
      <c r="B28" s="159">
        <v>23404.14</v>
      </c>
      <c r="C28" s="159">
        <v>25000</v>
      </c>
      <c r="D28" s="173">
        <v>16826.55</v>
      </c>
      <c r="E28" s="159">
        <v>0</v>
      </c>
      <c r="F28" s="161">
        <v>23420.83</v>
      </c>
      <c r="G28" s="162" t="s">
        <v>214</v>
      </c>
      <c r="H28" s="174">
        <v>35000</v>
      </c>
      <c r="I28" s="160">
        <f t="shared" si="0"/>
        <v>-10000</v>
      </c>
      <c r="J28" s="176"/>
      <c r="K28" s="177">
        <v>35000</v>
      </c>
      <c r="L28" s="163"/>
    </row>
    <row r="29" spans="1:12" ht="15" thickBot="1" x14ac:dyDescent="0.25">
      <c r="A29" s="158" t="s">
        <v>215</v>
      </c>
      <c r="B29" s="159">
        <v>47703.74</v>
      </c>
      <c r="C29" s="159">
        <v>55000</v>
      </c>
      <c r="D29" s="173">
        <v>30421.77</v>
      </c>
      <c r="E29" s="159">
        <v>0</v>
      </c>
      <c r="F29" s="161">
        <v>31270.62</v>
      </c>
      <c r="G29" s="162"/>
      <c r="H29" s="174">
        <v>60000</v>
      </c>
      <c r="I29" s="160">
        <f t="shared" si="0"/>
        <v>-5000</v>
      </c>
      <c r="J29" s="176"/>
      <c r="K29" s="177">
        <v>65000</v>
      </c>
      <c r="L29" s="163"/>
    </row>
    <row r="30" spans="1:12" ht="15" thickBot="1" x14ac:dyDescent="0.25">
      <c r="A30" s="158" t="s">
        <v>216</v>
      </c>
      <c r="B30" s="159">
        <v>0</v>
      </c>
      <c r="C30" s="159">
        <v>0</v>
      </c>
      <c r="D30" s="173">
        <v>360.5</v>
      </c>
      <c r="E30" s="159">
        <v>456</v>
      </c>
      <c r="F30" s="161">
        <v>-500</v>
      </c>
      <c r="G30" s="162"/>
      <c r="H30" s="174">
        <v>360.5</v>
      </c>
      <c r="I30" s="160">
        <f t="shared" si="0"/>
        <v>-360.5</v>
      </c>
      <c r="J30" s="176"/>
      <c r="K30" s="177">
        <v>0</v>
      </c>
      <c r="L30" s="163"/>
    </row>
    <row r="31" spans="1:12" ht="15" thickBot="1" x14ac:dyDescent="0.25">
      <c r="A31" s="158" t="s">
        <v>217</v>
      </c>
      <c r="B31" s="159">
        <v>0</v>
      </c>
      <c r="C31" s="159">
        <v>2500</v>
      </c>
      <c r="D31" s="173">
        <v>0</v>
      </c>
      <c r="E31" s="159">
        <v>0</v>
      </c>
      <c r="F31" s="161">
        <v>12500</v>
      </c>
      <c r="G31" s="164"/>
      <c r="H31" s="174">
        <v>0</v>
      </c>
      <c r="I31" s="160">
        <f t="shared" si="0"/>
        <v>2500</v>
      </c>
      <c r="J31" s="176"/>
      <c r="K31" s="177">
        <v>5000</v>
      </c>
      <c r="L31" s="163"/>
    </row>
    <row r="32" spans="1:12" ht="15" thickBot="1" x14ac:dyDescent="0.25">
      <c r="A32" s="158" t="s">
        <v>218</v>
      </c>
      <c r="B32" s="159">
        <v>6864</v>
      </c>
      <c r="C32" s="159">
        <v>8000</v>
      </c>
      <c r="D32" s="173">
        <v>2860</v>
      </c>
      <c r="E32" s="159">
        <v>0</v>
      </c>
      <c r="F32" s="161">
        <v>5784</v>
      </c>
      <c r="G32" s="162" t="s">
        <v>219</v>
      </c>
      <c r="H32" s="174">
        <v>5720</v>
      </c>
      <c r="I32" s="160">
        <f t="shared" si="0"/>
        <v>2280</v>
      </c>
      <c r="J32" s="176"/>
      <c r="K32" s="177">
        <v>6000</v>
      </c>
      <c r="L32" s="163"/>
    </row>
    <row r="33" spans="1:12" ht="15" thickBot="1" x14ac:dyDescent="0.25">
      <c r="A33" s="158" t="s">
        <v>220</v>
      </c>
      <c r="B33" s="159">
        <v>881.77</v>
      </c>
      <c r="C33" s="159">
        <v>5000</v>
      </c>
      <c r="D33" s="173">
        <v>0</v>
      </c>
      <c r="E33" s="159">
        <v>0</v>
      </c>
      <c r="F33" s="161">
        <v>2000</v>
      </c>
      <c r="G33" s="164"/>
      <c r="H33" s="174">
        <v>0</v>
      </c>
      <c r="I33" s="160">
        <f t="shared" si="0"/>
        <v>5000</v>
      </c>
      <c r="J33" s="176"/>
      <c r="K33" s="177">
        <v>5000</v>
      </c>
      <c r="L33" s="163"/>
    </row>
    <row r="34" spans="1:12" ht="15" thickBot="1" x14ac:dyDescent="0.25">
      <c r="A34" s="158" t="s">
        <v>221</v>
      </c>
      <c r="B34" s="159">
        <v>0</v>
      </c>
      <c r="C34" s="159">
        <v>0</v>
      </c>
      <c r="D34" s="173">
        <v>0</v>
      </c>
      <c r="E34" s="159">
        <v>0</v>
      </c>
      <c r="F34" s="161">
        <v>2000</v>
      </c>
      <c r="G34" s="162"/>
      <c r="H34" s="174">
        <v>0</v>
      </c>
      <c r="I34" s="160">
        <f t="shared" si="0"/>
        <v>0</v>
      </c>
      <c r="J34" s="176"/>
      <c r="K34" s="177">
        <v>0</v>
      </c>
      <c r="L34" s="163"/>
    </row>
    <row r="35" spans="1:12" ht="15" thickBot="1" x14ac:dyDescent="0.25">
      <c r="A35" s="158" t="s">
        <v>222</v>
      </c>
      <c r="B35" s="159">
        <v>7980.52</v>
      </c>
      <c r="C35" s="159">
        <v>8000</v>
      </c>
      <c r="D35" s="173">
        <v>2901.19</v>
      </c>
      <c r="E35" s="159">
        <v>0</v>
      </c>
      <c r="F35" s="161">
        <v>6037.24</v>
      </c>
      <c r="G35" s="162"/>
      <c r="H35" s="174">
        <v>6000</v>
      </c>
      <c r="I35" s="160">
        <f t="shared" si="0"/>
        <v>2000</v>
      </c>
      <c r="J35" s="176"/>
      <c r="K35" s="177">
        <v>4000</v>
      </c>
      <c r="L35" s="163"/>
    </row>
    <row r="36" spans="1:12" ht="15" thickBot="1" x14ac:dyDescent="0.25">
      <c r="A36" s="158" t="s">
        <v>224</v>
      </c>
      <c r="B36" s="159">
        <v>2101.13</v>
      </c>
      <c r="C36" s="159">
        <v>4000</v>
      </c>
      <c r="D36" s="173">
        <v>1912.79</v>
      </c>
      <c r="E36" s="159">
        <v>0</v>
      </c>
      <c r="F36" s="161">
        <v>1618.54</v>
      </c>
      <c r="G36" s="162" t="s">
        <v>225</v>
      </c>
      <c r="H36" s="174">
        <v>4000</v>
      </c>
      <c r="I36" s="160">
        <f t="shared" si="0"/>
        <v>0</v>
      </c>
      <c r="J36" s="176"/>
      <c r="K36" s="177">
        <v>4500</v>
      </c>
      <c r="L36" s="163"/>
    </row>
    <row r="37" spans="1:12" s="52" customFormat="1" ht="15" thickBot="1" x14ac:dyDescent="0.25">
      <c r="A37" s="196" t="s">
        <v>238</v>
      </c>
      <c r="B37" s="196"/>
      <c r="C37" s="209">
        <f>SUM(C28:C36)</f>
        <v>107500</v>
      </c>
      <c r="D37" s="209">
        <f>SUM(D28:D36)</f>
        <v>55282.8</v>
      </c>
      <c r="E37" s="198"/>
      <c r="F37" s="198"/>
      <c r="G37" s="199"/>
      <c r="H37" s="209">
        <f>SUM(H28:H36)</f>
        <v>111080.5</v>
      </c>
      <c r="I37" s="209">
        <f>SUM(I28:I36)</f>
        <v>-3580.5</v>
      </c>
      <c r="J37" s="176"/>
      <c r="K37" s="209">
        <f>SUM(K28:K36)</f>
        <v>124500</v>
      </c>
      <c r="L37" s="196"/>
    </row>
    <row r="38" spans="1:12" ht="15" thickBot="1" x14ac:dyDescent="0.25">
      <c r="A38" s="158" t="s">
        <v>227</v>
      </c>
      <c r="B38" s="159">
        <v>660.84</v>
      </c>
      <c r="C38" s="184">
        <v>500</v>
      </c>
      <c r="D38" s="185">
        <v>0</v>
      </c>
      <c r="E38" s="184">
        <v>0</v>
      </c>
      <c r="F38" s="197">
        <v>1000</v>
      </c>
      <c r="G38" s="188"/>
      <c r="H38" s="189">
        <v>0</v>
      </c>
      <c r="I38" s="195">
        <f t="shared" si="0"/>
        <v>500</v>
      </c>
      <c r="J38" s="176"/>
      <c r="K38" s="191">
        <v>200</v>
      </c>
      <c r="L38" s="163"/>
    </row>
    <row r="39" spans="1:12" ht="15" thickBot="1" x14ac:dyDescent="0.25">
      <c r="A39" s="158" t="s">
        <v>228</v>
      </c>
      <c r="B39" s="159">
        <v>0</v>
      </c>
      <c r="C39" s="159">
        <v>200</v>
      </c>
      <c r="D39" s="173">
        <v>0</v>
      </c>
      <c r="E39" s="159">
        <v>0</v>
      </c>
      <c r="F39" s="161">
        <v>200</v>
      </c>
      <c r="G39" s="162"/>
      <c r="H39" s="174">
        <v>0</v>
      </c>
      <c r="I39" s="160">
        <f t="shared" si="0"/>
        <v>200</v>
      </c>
      <c r="J39" s="176"/>
      <c r="K39" s="177">
        <v>200</v>
      </c>
      <c r="L39" s="163"/>
    </row>
    <row r="40" spans="1:12" ht="15" thickBot="1" x14ac:dyDescent="0.25">
      <c r="A40" s="158" t="s">
        <v>229</v>
      </c>
      <c r="B40" s="159">
        <v>76.39</v>
      </c>
      <c r="C40" s="159">
        <v>100</v>
      </c>
      <c r="D40" s="173">
        <v>0</v>
      </c>
      <c r="E40" s="159">
        <v>0</v>
      </c>
      <c r="F40" s="161">
        <v>100</v>
      </c>
      <c r="G40" s="162"/>
      <c r="H40" s="174">
        <v>0</v>
      </c>
      <c r="I40" s="160">
        <f t="shared" si="0"/>
        <v>100</v>
      </c>
      <c r="J40" s="176"/>
      <c r="K40" s="177">
        <v>0</v>
      </c>
      <c r="L40" s="163"/>
    </row>
    <row r="41" spans="1:12" ht="15" thickBot="1" x14ac:dyDescent="0.25">
      <c r="A41" s="158" t="s">
        <v>230</v>
      </c>
      <c r="B41" s="159">
        <v>32770.49</v>
      </c>
      <c r="C41" s="159">
        <v>45000</v>
      </c>
      <c r="D41" s="173">
        <v>16282.24</v>
      </c>
      <c r="E41" s="159">
        <v>0</v>
      </c>
      <c r="F41" s="161">
        <v>30588.34</v>
      </c>
      <c r="G41" s="162" t="s">
        <v>231</v>
      </c>
      <c r="H41" s="174">
        <v>40000</v>
      </c>
      <c r="I41" s="160">
        <f t="shared" si="0"/>
        <v>5000</v>
      </c>
      <c r="J41" s="176"/>
      <c r="K41" s="177">
        <v>40000</v>
      </c>
      <c r="L41" s="178"/>
    </row>
    <row r="42" spans="1:12" s="52" customFormat="1" ht="15" thickBot="1" x14ac:dyDescent="0.25">
      <c r="A42" s="170" t="s">
        <v>239</v>
      </c>
      <c r="B42" s="171"/>
      <c r="C42" s="206">
        <f>SUM(C38:C41)</f>
        <v>45800</v>
      </c>
      <c r="D42" s="206">
        <f>SUM(D38:D41)</f>
        <v>16282.24</v>
      </c>
      <c r="E42" s="206"/>
      <c r="F42" s="207"/>
      <c r="G42" s="208"/>
      <c r="H42" s="206">
        <f>SUM(H38:H41)</f>
        <v>40000</v>
      </c>
      <c r="I42" s="206">
        <f>SUM(I38:I41)</f>
        <v>5800</v>
      </c>
      <c r="J42" s="193"/>
      <c r="K42" s="206">
        <f>SUM(K38:K41)</f>
        <v>40400</v>
      </c>
      <c r="L42" s="172"/>
    </row>
    <row r="43" spans="1:12" ht="15" thickBot="1" x14ac:dyDescent="0.25">
      <c r="A43" s="165"/>
      <c r="B43" s="166"/>
      <c r="C43" s="200"/>
      <c r="D43" s="201"/>
      <c r="E43" s="200"/>
      <c r="F43" s="202"/>
      <c r="G43" s="203"/>
      <c r="H43" s="202"/>
      <c r="I43" s="204"/>
      <c r="J43" s="180"/>
      <c r="K43" s="205"/>
      <c r="L43" s="169"/>
    </row>
    <row r="44" spans="1:12" ht="15" thickBot="1" x14ac:dyDescent="0.25">
      <c r="A44" s="165" t="s">
        <v>232</v>
      </c>
      <c r="B44" s="166">
        <v>2037813.84</v>
      </c>
      <c r="C44" s="166">
        <f>+C42+C37+C27+C17+C8</f>
        <v>348800</v>
      </c>
      <c r="D44" s="166">
        <f>+D42+D37+D27+D17+D8</f>
        <v>186628.81999999998</v>
      </c>
      <c r="E44" s="166">
        <v>730910.18</v>
      </c>
      <c r="F44" s="167">
        <v>805553.77</v>
      </c>
      <c r="G44" s="168"/>
      <c r="H44" s="166">
        <f>+H42+H37+H27+H17+H8</f>
        <v>358903.82</v>
      </c>
      <c r="I44" s="166">
        <f>+I42+I37+I27+I17+I8</f>
        <v>-10103.820000000002</v>
      </c>
      <c r="J44" s="175"/>
      <c r="K44" s="166">
        <f>+K42+K37+K27+K17+K8</f>
        <v>372100</v>
      </c>
      <c r="L44" s="169"/>
    </row>
  </sheetData>
  <mergeCells count="1">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AI34"/>
  <sheetViews>
    <sheetView workbookViewId="0"/>
  </sheetViews>
  <sheetFormatPr baseColWidth="10" defaultColWidth="8.85546875" defaultRowHeight="14" x14ac:dyDescent="0.2"/>
  <cols>
    <col min="1" max="1" width="9" style="91" bestFit="1" customWidth="1"/>
    <col min="2" max="2" width="28.7109375" style="91" bestFit="1" customWidth="1"/>
    <col min="3" max="3" width="10.28515625" style="91" customWidth="1"/>
    <col min="4" max="4" width="11" style="91" customWidth="1"/>
    <col min="5" max="5" width="10.7109375" style="91" bestFit="1" customWidth="1"/>
    <col min="6" max="6" width="9" style="91" bestFit="1" customWidth="1"/>
    <col min="7" max="7" width="10.5703125" style="91" customWidth="1"/>
    <col min="8" max="10" width="10" style="91" bestFit="1" customWidth="1"/>
    <col min="11" max="17" width="11" style="91" bestFit="1" customWidth="1"/>
    <col min="18" max="18" width="3.7109375" style="91" customWidth="1"/>
    <col min="19" max="19" width="10.28515625" style="91" customWidth="1"/>
    <col min="20" max="20" width="6.85546875" style="91" bestFit="1" customWidth="1"/>
    <col min="21" max="21" width="16" style="91" customWidth="1"/>
    <col min="22" max="22" width="11" style="91" bestFit="1" customWidth="1"/>
    <col min="23" max="33" width="8.85546875" style="91"/>
    <col min="34" max="34" width="9" style="91" bestFit="1" customWidth="1"/>
    <col min="35" max="16384" width="8.85546875" style="91"/>
  </cols>
  <sheetData>
    <row r="1" spans="1:21" x14ac:dyDescent="0.2">
      <c r="A1" s="52" t="s">
        <v>273</v>
      </c>
    </row>
    <row r="2" spans="1:21" x14ac:dyDescent="0.2">
      <c r="A2" s="121" t="s">
        <v>173</v>
      </c>
    </row>
    <row r="3" spans="1:21" x14ac:dyDescent="0.2">
      <c r="A3" s="91" t="s">
        <v>154</v>
      </c>
    </row>
    <row r="4" spans="1:21" x14ac:dyDescent="0.2">
      <c r="A4" s="92" t="s">
        <v>155</v>
      </c>
    </row>
    <row r="5" spans="1:21" x14ac:dyDescent="0.2">
      <c r="A5" s="92" t="s">
        <v>157</v>
      </c>
    </row>
    <row r="6" spans="1:21" x14ac:dyDescent="0.2">
      <c r="A6" s="92" t="s">
        <v>156</v>
      </c>
    </row>
    <row r="7" spans="1:21" x14ac:dyDescent="0.2">
      <c r="A7" s="92"/>
    </row>
    <row r="8" spans="1:21" x14ac:dyDescent="0.2">
      <c r="A8" s="111" t="s">
        <v>137</v>
      </c>
    </row>
    <row r="9" spans="1:21" s="99" customFormat="1" ht="28" x14ac:dyDescent="0.2">
      <c r="A9" s="93" t="s">
        <v>138</v>
      </c>
      <c r="B9" s="94" t="s">
        <v>139</v>
      </c>
      <c r="C9" s="95" t="s">
        <v>140</v>
      </c>
      <c r="D9" s="96" t="s">
        <v>141</v>
      </c>
      <c r="E9" s="109" t="s">
        <v>158</v>
      </c>
      <c r="F9" s="93" t="s">
        <v>159</v>
      </c>
      <c r="G9" s="109" t="s">
        <v>150</v>
      </c>
      <c r="H9" s="109"/>
      <c r="I9" s="109"/>
      <c r="J9" s="109"/>
      <c r="K9" s="109"/>
      <c r="L9" s="93" t="s">
        <v>142</v>
      </c>
      <c r="M9" s="93" t="s">
        <v>143</v>
      </c>
      <c r="N9" s="93" t="s">
        <v>144</v>
      </c>
      <c r="O9" s="93" t="s">
        <v>145</v>
      </c>
      <c r="P9" s="93" t="s">
        <v>146</v>
      </c>
      <c r="Q9" s="93" t="s">
        <v>147</v>
      </c>
      <c r="R9" s="93"/>
      <c r="S9" s="97" t="s">
        <v>148</v>
      </c>
      <c r="T9" s="97" t="s">
        <v>149</v>
      </c>
      <c r="U9" s="98" t="s">
        <v>106</v>
      </c>
    </row>
    <row r="10" spans="1:21" x14ac:dyDescent="0.2">
      <c r="A10" s="120" t="s">
        <v>142</v>
      </c>
      <c r="B10" s="101" t="s">
        <v>244</v>
      </c>
      <c r="C10" s="100" t="s">
        <v>243</v>
      </c>
      <c r="D10" s="102">
        <v>62850.83</v>
      </c>
      <c r="E10" s="103">
        <v>40836</v>
      </c>
      <c r="F10" s="129">
        <v>5</v>
      </c>
      <c r="G10" s="104">
        <f>D10/F10/12</f>
        <v>1047.5138333333334</v>
      </c>
      <c r="H10" s="104"/>
      <c r="I10" s="104"/>
      <c r="J10" s="104"/>
      <c r="K10" s="104"/>
      <c r="L10" s="104">
        <f>G10*9</f>
        <v>9427.6245000000017</v>
      </c>
      <c r="M10" s="104">
        <f>$G$10*12</f>
        <v>12570.166000000001</v>
      </c>
      <c r="N10" s="104">
        <f>$G$10*12</f>
        <v>12570.166000000001</v>
      </c>
      <c r="O10" s="104">
        <f>$G$10*12</f>
        <v>12570.166000000001</v>
      </c>
      <c r="P10" s="104">
        <f>$G$10*12</f>
        <v>12570.166000000001</v>
      </c>
      <c r="Q10" s="104">
        <f>$G$10*3</f>
        <v>3142.5415000000003</v>
      </c>
      <c r="R10" s="104"/>
      <c r="S10" s="104">
        <f>SUM(L10:Q10)</f>
        <v>62850.829999999994</v>
      </c>
      <c r="T10" s="104">
        <f>+D10-S10</f>
        <v>0</v>
      </c>
    </row>
    <row r="11" spans="1:21" x14ac:dyDescent="0.2">
      <c r="A11" s="120" t="s">
        <v>142</v>
      </c>
      <c r="B11" s="101" t="s">
        <v>245</v>
      </c>
      <c r="C11" s="100" t="s">
        <v>243</v>
      </c>
      <c r="D11" s="105">
        <v>28450</v>
      </c>
      <c r="E11" s="103">
        <v>40912</v>
      </c>
      <c r="F11" s="129">
        <v>5</v>
      </c>
      <c r="G11" s="104">
        <f>D11/F11/12</f>
        <v>474.16666666666669</v>
      </c>
      <c r="H11" s="104"/>
      <c r="I11" s="104"/>
      <c r="J11" s="104"/>
      <c r="K11" s="104"/>
      <c r="L11" s="104">
        <f>G11*6</f>
        <v>2845</v>
      </c>
      <c r="M11" s="104">
        <f>$G$11*12</f>
        <v>5690</v>
      </c>
      <c r="N11" s="104">
        <f>$G$11*12</f>
        <v>5690</v>
      </c>
      <c r="O11" s="104">
        <f>$G$11*12</f>
        <v>5690</v>
      </c>
      <c r="P11" s="104">
        <f>$G$11*12</f>
        <v>5690</v>
      </c>
      <c r="Q11" s="104">
        <f>$G$11*6</f>
        <v>2845</v>
      </c>
      <c r="R11" s="104"/>
      <c r="S11" s="104">
        <f>SUM(L11:Q11)</f>
        <v>28450</v>
      </c>
      <c r="T11" s="104">
        <f>+D11-S11</f>
        <v>0</v>
      </c>
    </row>
    <row r="12" spans="1:21" x14ac:dyDescent="0.2">
      <c r="A12" s="93"/>
      <c r="B12" s="106"/>
      <c r="C12" s="106"/>
      <c r="D12" s="106"/>
      <c r="E12" s="106"/>
      <c r="F12" s="106"/>
      <c r="G12" s="106"/>
      <c r="H12" s="106"/>
      <c r="I12" s="106"/>
      <c r="J12" s="106"/>
      <c r="K12" s="106"/>
      <c r="L12" s="107"/>
      <c r="M12" s="107"/>
      <c r="N12" s="107"/>
      <c r="O12" s="107"/>
      <c r="P12" s="107"/>
      <c r="Q12" s="107"/>
      <c r="R12" s="107"/>
      <c r="S12" s="107"/>
      <c r="T12" s="107"/>
      <c r="U12" s="106"/>
    </row>
    <row r="13" spans="1:21" x14ac:dyDescent="0.2">
      <c r="B13" s="91" t="s">
        <v>93</v>
      </c>
      <c r="D13" s="108">
        <f>SUM(D10:D12)</f>
        <v>91300.83</v>
      </c>
      <c r="G13" s="104">
        <f>SUM(G10:G12)</f>
        <v>1521.6805000000002</v>
      </c>
      <c r="L13" s="211">
        <f t="shared" ref="L13:Q13" si="0">SUM(L9:L12)</f>
        <v>12272.624500000002</v>
      </c>
      <c r="M13" s="130">
        <f t="shared" si="0"/>
        <v>18260.166000000001</v>
      </c>
      <c r="N13" s="130">
        <f t="shared" si="0"/>
        <v>18260.166000000001</v>
      </c>
      <c r="O13" s="130">
        <f t="shared" si="0"/>
        <v>18260.166000000001</v>
      </c>
      <c r="P13" s="130">
        <f t="shared" si="0"/>
        <v>18260.166000000001</v>
      </c>
      <c r="Q13" s="130">
        <f t="shared" si="0"/>
        <v>5987.5415000000003</v>
      </c>
      <c r="R13" s="131"/>
      <c r="S13" s="130">
        <f>SUM(S10:S12)</f>
        <v>91300.829999999987</v>
      </c>
      <c r="T13" s="131"/>
      <c r="U13" s="131"/>
    </row>
    <row r="14" spans="1:21" x14ac:dyDescent="0.2">
      <c r="B14" s="91" t="s">
        <v>150</v>
      </c>
      <c r="G14" s="104"/>
      <c r="H14" s="104"/>
      <c r="I14" s="104"/>
      <c r="J14" s="104"/>
      <c r="K14" s="104"/>
      <c r="L14" s="104">
        <f>L13/12</f>
        <v>1022.7187083333334</v>
      </c>
      <c r="M14" s="104">
        <f>SUM(M10:M13)/12</f>
        <v>3043.3610000000003</v>
      </c>
      <c r="N14" s="104">
        <f>SUM(N10:N13)/12</f>
        <v>3043.3610000000003</v>
      </c>
      <c r="O14" s="104">
        <f>SUM(O10:O13)/12</f>
        <v>3043.3610000000003</v>
      </c>
      <c r="P14" s="104">
        <f>SUM(P10:P13)/12</f>
        <v>3043.3610000000003</v>
      </c>
      <c r="Q14" s="104">
        <f>SUM(Q10:Q13)/12</f>
        <v>997.92358333333334</v>
      </c>
      <c r="S14" s="104"/>
      <c r="T14" s="104"/>
    </row>
    <row r="15" spans="1:21" x14ac:dyDescent="0.2">
      <c r="B15" s="91" t="s">
        <v>151</v>
      </c>
      <c r="L15" s="104">
        <f>L13</f>
        <v>12272.624500000002</v>
      </c>
      <c r="M15" s="104">
        <f>+L15+M13</f>
        <v>30532.790500000003</v>
      </c>
      <c r="N15" s="104">
        <f>+M15+N13</f>
        <v>48792.9565</v>
      </c>
      <c r="O15" s="104">
        <f>+N15+O13</f>
        <v>67053.122499999998</v>
      </c>
      <c r="P15" s="104">
        <f>+O15+P13</f>
        <v>85313.288499999995</v>
      </c>
      <c r="Q15" s="104">
        <f>+P15+Q13</f>
        <v>91300.83</v>
      </c>
    </row>
    <row r="17" spans="1:35" x14ac:dyDescent="0.2">
      <c r="A17" s="91" t="s">
        <v>152</v>
      </c>
      <c r="B17" s="91" t="s">
        <v>160</v>
      </c>
      <c r="C17" s="110" t="s">
        <v>161</v>
      </c>
    </row>
    <row r="18" spans="1:35" x14ac:dyDescent="0.2">
      <c r="A18" s="91" t="s">
        <v>153</v>
      </c>
      <c r="B18" s="91" t="s">
        <v>174</v>
      </c>
      <c r="C18" s="92" t="s">
        <v>162</v>
      </c>
    </row>
    <row r="20" spans="1:35" s="112" customFormat="1" x14ac:dyDescent="0.2"/>
    <row r="21" spans="1:35" s="112" customFormat="1" x14ac:dyDescent="0.2">
      <c r="A21" s="111" t="s">
        <v>171</v>
      </c>
      <c r="B21" s="113"/>
      <c r="C21" s="113"/>
      <c r="D21" s="113"/>
      <c r="E21" s="113"/>
      <c r="G21" s="114"/>
      <c r="H21" s="114"/>
      <c r="I21" s="114"/>
      <c r="J21" s="114"/>
      <c r="K21" s="114"/>
      <c r="L21" s="113"/>
      <c r="M21" s="113"/>
      <c r="N21" s="113"/>
      <c r="O21" s="113"/>
      <c r="P21" s="113"/>
      <c r="Q21" s="113"/>
      <c r="R21" s="113"/>
    </row>
    <row r="22" spans="1:35" s="112" customFormat="1" ht="28" x14ac:dyDescent="0.2">
      <c r="A22" s="95" t="s">
        <v>138</v>
      </c>
      <c r="B22" s="95" t="s">
        <v>139</v>
      </c>
      <c r="C22" s="95"/>
      <c r="D22" s="95" t="s">
        <v>141</v>
      </c>
      <c r="E22" s="119" t="s">
        <v>163</v>
      </c>
      <c r="F22" s="93" t="s">
        <v>159</v>
      </c>
      <c r="G22" s="109" t="s">
        <v>150</v>
      </c>
      <c r="H22" s="95" t="s">
        <v>166</v>
      </c>
      <c r="I22" s="95" t="s">
        <v>172</v>
      </c>
      <c r="J22" s="95" t="s">
        <v>167</v>
      </c>
      <c r="K22" s="95" t="s">
        <v>170</v>
      </c>
      <c r="L22" s="93" t="s">
        <v>142</v>
      </c>
      <c r="M22" s="93" t="s">
        <v>143</v>
      </c>
      <c r="N22" s="93" t="s">
        <v>144</v>
      </c>
      <c r="O22" s="93" t="s">
        <v>145</v>
      </c>
      <c r="P22" s="93" t="s">
        <v>146</v>
      </c>
      <c r="Q22" s="93" t="s">
        <v>147</v>
      </c>
      <c r="S22" s="97" t="s">
        <v>148</v>
      </c>
      <c r="T22" s="97" t="s">
        <v>149</v>
      </c>
      <c r="U22" s="98" t="s">
        <v>106</v>
      </c>
      <c r="AI22" s="112" t="s">
        <v>164</v>
      </c>
    </row>
    <row r="23" spans="1:35" s="112" customFormat="1" x14ac:dyDescent="0.2">
      <c r="A23" s="113" t="s">
        <v>165</v>
      </c>
      <c r="B23" s="101" t="s">
        <v>246</v>
      </c>
      <c r="D23" s="115">
        <v>6034</v>
      </c>
      <c r="E23" s="116">
        <v>39036</v>
      </c>
      <c r="F23" s="113">
        <v>5</v>
      </c>
      <c r="G23" s="117">
        <f>D23/60</f>
        <v>100.56666666666666</v>
      </c>
      <c r="H23" s="115">
        <f>100.56*12</f>
        <v>1206.72</v>
      </c>
      <c r="I23" s="115">
        <f>100.56*12</f>
        <v>1206.72</v>
      </c>
      <c r="J23" s="115">
        <f>100.56*12</f>
        <v>1206.72</v>
      </c>
      <c r="K23" s="115">
        <f>100.57*12</f>
        <v>1206.8399999999999</v>
      </c>
      <c r="L23" s="115">
        <f>100.57*12</f>
        <v>1206.8399999999999</v>
      </c>
      <c r="M23" s="115"/>
      <c r="N23" s="115"/>
      <c r="O23" s="115"/>
      <c r="P23" s="115"/>
      <c r="S23" s="104">
        <f>SUM(H23:Q23)</f>
        <v>6033.84</v>
      </c>
      <c r="T23" s="132">
        <f>+D23-S23</f>
        <v>0.15999999999985448</v>
      </c>
      <c r="U23" s="112" t="s">
        <v>175</v>
      </c>
      <c r="AG23" s="115"/>
      <c r="AH23" s="115">
        <f>SUM(Q23:AG23)-D23</f>
        <v>0</v>
      </c>
    </row>
    <row r="24" spans="1:35" s="112" customFormat="1" x14ac:dyDescent="0.2">
      <c r="A24" s="113" t="s">
        <v>166</v>
      </c>
      <c r="B24" s="101" t="s">
        <v>247</v>
      </c>
      <c r="D24" s="115">
        <v>5097</v>
      </c>
      <c r="E24" s="116">
        <v>39383</v>
      </c>
      <c r="F24" s="113">
        <v>5</v>
      </c>
      <c r="G24" s="117">
        <f>D24/60</f>
        <v>84.95</v>
      </c>
      <c r="H24" s="115"/>
      <c r="I24" s="115">
        <f>84.95*12</f>
        <v>1019.4000000000001</v>
      </c>
      <c r="J24" s="115">
        <f>84.95*12</f>
        <v>1019.4000000000001</v>
      </c>
      <c r="K24" s="115">
        <f>84.95*12</f>
        <v>1019.4000000000001</v>
      </c>
      <c r="L24" s="115">
        <f>84.95*12</f>
        <v>1019.4000000000001</v>
      </c>
      <c r="M24" s="115">
        <f>84.95*12</f>
        <v>1019.4000000000001</v>
      </c>
      <c r="N24" s="115"/>
      <c r="O24" s="115"/>
      <c r="P24" s="115"/>
      <c r="S24" s="104">
        <f>SUM(H24:Q24)</f>
        <v>5097</v>
      </c>
      <c r="T24" s="132">
        <f>+D24-S24</f>
        <v>0</v>
      </c>
      <c r="AG24" s="115"/>
      <c r="AH24" s="115">
        <f>SUM(Q24:AG24)-D24</f>
        <v>0</v>
      </c>
    </row>
    <row r="25" spans="1:35" s="112" customFormat="1" x14ac:dyDescent="0.2">
      <c r="A25" s="113" t="s">
        <v>166</v>
      </c>
      <c r="B25" s="101" t="s">
        <v>248</v>
      </c>
      <c r="D25" s="115">
        <v>6177</v>
      </c>
      <c r="E25" s="116">
        <v>39383</v>
      </c>
      <c r="F25" s="113">
        <v>5</v>
      </c>
      <c r="G25" s="117">
        <f>D25/60</f>
        <v>102.95</v>
      </c>
      <c r="H25" s="115"/>
      <c r="I25" s="115">
        <f>102.95*12</f>
        <v>1235.4000000000001</v>
      </c>
      <c r="J25" s="115">
        <f>102.95*12</f>
        <v>1235.4000000000001</v>
      </c>
      <c r="K25" s="115">
        <f>102.95*12</f>
        <v>1235.4000000000001</v>
      </c>
      <c r="L25" s="115">
        <f>102.95*12</f>
        <v>1235.4000000000001</v>
      </c>
      <c r="M25" s="115">
        <f>102.95*12</f>
        <v>1235.4000000000001</v>
      </c>
      <c r="N25" s="115"/>
      <c r="O25" s="115"/>
      <c r="P25" s="115"/>
      <c r="S25" s="104">
        <f>SUM(H25:Q25)</f>
        <v>6177</v>
      </c>
      <c r="T25" s="132">
        <f>+D25-S25</f>
        <v>0</v>
      </c>
      <c r="AG25" s="115"/>
      <c r="AH25" s="115">
        <f>SUM(Q25:AG25)-D25</f>
        <v>0</v>
      </c>
    </row>
    <row r="26" spans="1:35" s="112" customFormat="1" x14ac:dyDescent="0.2">
      <c r="A26" s="95" t="s">
        <v>167</v>
      </c>
      <c r="B26" s="212" t="s">
        <v>249</v>
      </c>
      <c r="C26" s="94"/>
      <c r="D26" s="126">
        <v>7625</v>
      </c>
      <c r="E26" s="127">
        <v>40338</v>
      </c>
      <c r="F26" s="95">
        <v>5</v>
      </c>
      <c r="G26" s="128">
        <f>D26/60</f>
        <v>127.08333333333333</v>
      </c>
      <c r="H26" s="115"/>
      <c r="I26" s="115"/>
      <c r="J26" s="115"/>
      <c r="K26" s="115">
        <f>127.08*12</f>
        <v>1524.96</v>
      </c>
      <c r="L26" s="115">
        <f>127.08*12</f>
        <v>1524.96</v>
      </c>
      <c r="M26" s="115">
        <f>127.08*12</f>
        <v>1524.96</v>
      </c>
      <c r="N26" s="115">
        <f>127.08*12</f>
        <v>1524.96</v>
      </c>
      <c r="O26" s="115">
        <f>127.08*12+0.2</f>
        <v>1525.16</v>
      </c>
      <c r="P26" s="126"/>
      <c r="Q26" s="94"/>
      <c r="R26" s="94"/>
      <c r="S26" s="107">
        <f>SUM(H26:Q26)</f>
        <v>7625</v>
      </c>
      <c r="T26" s="133">
        <f>+D26-S26</f>
        <v>0</v>
      </c>
      <c r="U26" s="94"/>
      <c r="AG26" s="115"/>
      <c r="AH26" s="115">
        <f>SUM(Q26:AG26)-D26</f>
        <v>0</v>
      </c>
    </row>
    <row r="27" spans="1:35" s="112" customFormat="1" x14ac:dyDescent="0.2">
      <c r="A27" s="113"/>
      <c r="B27" s="112" t="s">
        <v>93</v>
      </c>
      <c r="D27" s="115">
        <f>SUM(D23:D26)</f>
        <v>24933</v>
      </c>
      <c r="F27" s="117"/>
      <c r="G27" s="113"/>
      <c r="H27" s="134">
        <f t="shared" ref="H27:O27" si="1">SUM(H23:H26)</f>
        <v>1206.72</v>
      </c>
      <c r="I27" s="134">
        <f t="shared" si="1"/>
        <v>3461.52</v>
      </c>
      <c r="J27" s="134">
        <f t="shared" si="1"/>
        <v>3461.52</v>
      </c>
      <c r="K27" s="134">
        <f t="shared" si="1"/>
        <v>4986.6000000000004</v>
      </c>
      <c r="L27" s="213">
        <f t="shared" si="1"/>
        <v>4986.6000000000004</v>
      </c>
      <c r="M27" s="134">
        <f t="shared" si="1"/>
        <v>3779.76</v>
      </c>
      <c r="N27" s="134">
        <f t="shared" si="1"/>
        <v>1524.96</v>
      </c>
      <c r="O27" s="134">
        <f t="shared" si="1"/>
        <v>1525.16</v>
      </c>
      <c r="P27" s="126"/>
      <c r="Q27" s="94"/>
      <c r="R27" s="94"/>
      <c r="S27" s="133">
        <f>SUM(S23:S26)</f>
        <v>24932.84</v>
      </c>
      <c r="T27" s="94"/>
      <c r="U27" s="94"/>
      <c r="AG27" s="115"/>
      <c r="AH27" s="115"/>
    </row>
    <row r="28" spans="1:35" s="122" customFormat="1" x14ac:dyDescent="0.2">
      <c r="B28" s="122" t="s">
        <v>150</v>
      </c>
      <c r="F28" s="118"/>
      <c r="G28" s="123"/>
      <c r="H28" s="135">
        <f>H23/12</f>
        <v>100.56</v>
      </c>
      <c r="I28" s="135">
        <f t="shared" ref="I28:O28" si="2">I27/12</f>
        <v>288.45999999999998</v>
      </c>
      <c r="J28" s="135">
        <f t="shared" si="2"/>
        <v>288.45999999999998</v>
      </c>
      <c r="K28" s="135">
        <f t="shared" si="2"/>
        <v>415.55</v>
      </c>
      <c r="L28" s="135">
        <f t="shared" si="2"/>
        <v>415.55</v>
      </c>
      <c r="M28" s="135">
        <f t="shared" si="2"/>
        <v>314.98</v>
      </c>
      <c r="N28" s="135">
        <f t="shared" si="2"/>
        <v>127.08</v>
      </c>
      <c r="O28" s="135">
        <f t="shared" si="2"/>
        <v>127.09666666666668</v>
      </c>
      <c r="P28" s="118"/>
      <c r="AG28" s="118"/>
      <c r="AH28" s="118"/>
    </row>
    <row r="29" spans="1:35" s="122" customFormat="1" x14ac:dyDescent="0.2">
      <c r="B29" s="122" t="s">
        <v>151</v>
      </c>
      <c r="F29" s="118"/>
      <c r="G29" s="123"/>
      <c r="H29" s="135">
        <f>+H27</f>
        <v>1206.72</v>
      </c>
      <c r="I29" s="135">
        <f>H29+I27</f>
        <v>4668.24</v>
      </c>
      <c r="J29" s="135">
        <f t="shared" ref="J29:O29" si="3">+I29+J27</f>
        <v>8129.76</v>
      </c>
      <c r="K29" s="135">
        <f t="shared" si="3"/>
        <v>13116.36</v>
      </c>
      <c r="L29" s="135">
        <f t="shared" si="3"/>
        <v>18102.96</v>
      </c>
      <c r="M29" s="135">
        <f t="shared" si="3"/>
        <v>21882.720000000001</v>
      </c>
      <c r="N29" s="135">
        <f t="shared" si="3"/>
        <v>23407.68</v>
      </c>
      <c r="O29" s="135">
        <f t="shared" si="3"/>
        <v>24932.84</v>
      </c>
      <c r="P29" s="124"/>
      <c r="AG29" s="118"/>
      <c r="AH29" s="118"/>
    </row>
    <row r="30" spans="1:35" s="122" customFormat="1" x14ac:dyDescent="0.2">
      <c r="C30" s="125"/>
      <c r="F30" s="118"/>
      <c r="G30" s="123"/>
      <c r="H30" s="123"/>
      <c r="I30" s="123"/>
      <c r="J30" s="123"/>
      <c r="K30" s="123"/>
      <c r="L30" s="118"/>
      <c r="M30" s="118"/>
      <c r="N30" s="124"/>
      <c r="O30" s="124"/>
      <c r="P30" s="124"/>
      <c r="Q30" s="124"/>
      <c r="R30" s="124"/>
      <c r="S30" s="118"/>
      <c r="T30" s="118"/>
      <c r="U30" s="118"/>
      <c r="V30" s="118"/>
      <c r="AG30" s="118"/>
      <c r="AH30" s="118"/>
    </row>
    <row r="31" spans="1:35" s="122" customFormat="1" x14ac:dyDescent="0.2">
      <c r="C31" s="125"/>
      <c r="F31" s="118"/>
      <c r="G31" s="123"/>
      <c r="H31" s="123"/>
      <c r="I31" s="123"/>
      <c r="J31" s="123"/>
      <c r="K31" s="123"/>
      <c r="L31" s="118"/>
      <c r="M31" s="118"/>
      <c r="N31" s="124"/>
      <c r="O31" s="124"/>
      <c r="P31" s="124"/>
      <c r="Q31" s="124"/>
      <c r="R31" s="124"/>
      <c r="S31" s="118"/>
      <c r="T31" s="118"/>
      <c r="U31" s="118"/>
      <c r="V31" s="118"/>
      <c r="AG31" s="118"/>
      <c r="AH31" s="118"/>
    </row>
    <row r="32" spans="1:35" s="122" customFormat="1" x14ac:dyDescent="0.2">
      <c r="A32" s="122" t="s">
        <v>168</v>
      </c>
      <c r="B32" s="91" t="s">
        <v>160</v>
      </c>
      <c r="C32" s="110" t="s">
        <v>161</v>
      </c>
      <c r="F32" s="118"/>
      <c r="G32" s="123"/>
      <c r="H32" s="123"/>
      <c r="I32" s="123"/>
      <c r="J32" s="123"/>
      <c r="K32" s="123"/>
      <c r="L32" s="118"/>
      <c r="M32" s="118"/>
      <c r="N32" s="124"/>
      <c r="O32" s="124"/>
      <c r="P32" s="124"/>
      <c r="Q32" s="124"/>
      <c r="R32" s="124"/>
      <c r="S32" s="118"/>
      <c r="T32" s="118"/>
      <c r="U32" s="118"/>
      <c r="V32" s="118"/>
      <c r="AG32" s="118"/>
      <c r="AH32" s="118"/>
    </row>
    <row r="33" spans="1:12" x14ac:dyDescent="0.2">
      <c r="A33" s="122" t="s">
        <v>169</v>
      </c>
      <c r="B33" s="125" t="s">
        <v>176</v>
      </c>
      <c r="C33" s="92" t="s">
        <v>162</v>
      </c>
    </row>
    <row r="34" spans="1:12" x14ac:dyDescent="0.2">
      <c r="L34" s="104">
        <f>+L27+L13</f>
        <v>17259.224500000004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heetViews>
  <sheetFormatPr baseColWidth="10" defaultColWidth="8.7109375" defaultRowHeight="14" x14ac:dyDescent="0.2"/>
  <cols>
    <col min="1" max="1" width="27" bestFit="1" customWidth="1"/>
    <col min="2" max="3" width="12.7109375" bestFit="1" customWidth="1"/>
    <col min="4" max="4" width="11.28515625" bestFit="1" customWidth="1"/>
    <col min="5" max="5" width="8" bestFit="1" customWidth="1"/>
    <col min="6" max="6" width="13.5703125" bestFit="1" customWidth="1"/>
    <col min="7" max="7" width="8.140625" bestFit="1" customWidth="1"/>
    <col min="8" max="8" width="12.7109375" bestFit="1" customWidth="1"/>
    <col min="9" max="9" width="11.28515625" bestFit="1" customWidth="1"/>
    <col min="11" max="11" width="12.7109375" bestFit="1" customWidth="1"/>
    <col min="12" max="12" width="8.140625" bestFit="1" customWidth="1"/>
  </cols>
  <sheetData>
    <row r="1" spans="1:12" ht="15" x14ac:dyDescent="0.2">
      <c r="A1" s="222" t="s">
        <v>282</v>
      </c>
    </row>
    <row r="2" spans="1:12" s="139" customFormat="1" x14ac:dyDescent="0.15">
      <c r="A2" s="305" t="s">
        <v>234</v>
      </c>
      <c r="B2" s="305"/>
      <c r="C2" s="305"/>
      <c r="D2" s="305"/>
      <c r="E2" s="305"/>
      <c r="F2" s="305"/>
      <c r="G2" s="305"/>
      <c r="H2" s="136"/>
      <c r="I2" s="137"/>
      <c r="J2" s="138"/>
      <c r="K2" s="138"/>
    </row>
    <row r="3" spans="1:12" s="139" customFormat="1" ht="12" thickBot="1" x14ac:dyDescent="0.2">
      <c r="A3" s="138"/>
      <c r="B3" s="138"/>
      <c r="C3" s="138"/>
      <c r="D3" s="138"/>
      <c r="E3" s="138"/>
      <c r="F3" s="138"/>
      <c r="G3" s="140"/>
      <c r="H3" s="141"/>
      <c r="I3" s="138"/>
      <c r="J3" s="138"/>
      <c r="K3" s="138"/>
    </row>
    <row r="4" spans="1:12" s="196" customFormat="1" ht="26.25" customHeight="1" thickBot="1" x14ac:dyDescent="0.2">
      <c r="A4" s="142"/>
      <c r="B4" s="143" t="s">
        <v>179</v>
      </c>
      <c r="C4" s="143" t="s">
        <v>180</v>
      </c>
      <c r="D4" s="143" t="s">
        <v>181</v>
      </c>
      <c r="E4" s="143" t="s">
        <v>182</v>
      </c>
      <c r="F4" s="144" t="s">
        <v>183</v>
      </c>
      <c r="G4" s="144" t="s">
        <v>106</v>
      </c>
      <c r="H4" s="144" t="s">
        <v>184</v>
      </c>
      <c r="I4" s="143" t="s">
        <v>277</v>
      </c>
      <c r="J4" s="145"/>
      <c r="K4" s="146" t="s">
        <v>186</v>
      </c>
      <c r="L4" s="147" t="s">
        <v>106</v>
      </c>
    </row>
    <row r="5" spans="1:12" s="139" customFormat="1" ht="12" thickBot="1" x14ac:dyDescent="0.2">
      <c r="A5" s="148" t="s">
        <v>187</v>
      </c>
      <c r="B5" s="149"/>
      <c r="C5" s="149"/>
      <c r="D5" s="150"/>
      <c r="E5" s="149"/>
      <c r="F5" s="151"/>
      <c r="G5" s="152"/>
      <c r="H5" s="153"/>
      <c r="I5" s="154"/>
      <c r="J5" s="155"/>
      <c r="K5" s="156"/>
      <c r="L5" s="157"/>
    </row>
    <row r="6" spans="1:12" s="139" customFormat="1" ht="12" thickBot="1" x14ac:dyDescent="0.2">
      <c r="A6" s="158" t="s">
        <v>278</v>
      </c>
      <c r="B6" s="223">
        <v>-3789.84</v>
      </c>
      <c r="C6" s="223">
        <v>0</v>
      </c>
      <c r="D6" s="224">
        <v>0</v>
      </c>
      <c r="E6" s="223">
        <v>0</v>
      </c>
      <c r="F6" s="225">
        <v>0</v>
      </c>
      <c r="G6" s="226"/>
      <c r="H6" s="227">
        <v>0</v>
      </c>
      <c r="I6" s="228">
        <f>C6-H6</f>
        <v>0</v>
      </c>
      <c r="J6" s="229"/>
      <c r="K6" s="230">
        <v>0</v>
      </c>
      <c r="L6" s="163"/>
    </row>
    <row r="7" spans="1:12" s="139" customFormat="1" ht="12" thickBot="1" x14ac:dyDescent="0.2">
      <c r="A7" s="158" t="s">
        <v>279</v>
      </c>
      <c r="B7" s="223">
        <v>-91753.21</v>
      </c>
      <c r="C7" s="223">
        <v>-46000</v>
      </c>
      <c r="D7" s="224">
        <f>-33116.23+-893.81</f>
        <v>-34010.04</v>
      </c>
      <c r="E7" s="223">
        <v>0</v>
      </c>
      <c r="F7" s="225">
        <v>-38798.94</v>
      </c>
      <c r="G7" s="226"/>
      <c r="H7" s="227">
        <v>-46000</v>
      </c>
      <c r="I7" s="228">
        <f>C7-H7</f>
        <v>0</v>
      </c>
      <c r="J7" s="229"/>
      <c r="K7" s="230">
        <v>-40000</v>
      </c>
      <c r="L7" s="163"/>
    </row>
    <row r="8" spans="1:12" s="139" customFormat="1" ht="12" thickBot="1" x14ac:dyDescent="0.2">
      <c r="A8" s="158" t="s">
        <v>280</v>
      </c>
      <c r="B8" s="223">
        <v>-1799237.14</v>
      </c>
      <c r="C8" s="223">
        <v>-1971119</v>
      </c>
      <c r="D8" s="224">
        <f>-747865.66+-143116.78</f>
        <v>-890982.44000000006</v>
      </c>
      <c r="E8" s="223">
        <v>0</v>
      </c>
      <c r="F8" s="225">
        <v>-1711912.24</v>
      </c>
      <c r="G8" s="226"/>
      <c r="H8" s="227">
        <f>-1852304.9+46000</f>
        <v>-1806304.9</v>
      </c>
      <c r="I8" s="228">
        <f>C8-H8</f>
        <v>-164814.10000000009</v>
      </c>
      <c r="J8" s="229"/>
      <c r="K8" s="230">
        <f>-1807220+40000</f>
        <v>-1767220</v>
      </c>
      <c r="L8" s="163"/>
    </row>
    <row r="9" spans="1:12" s="139" customFormat="1" ht="12" thickBot="1" x14ac:dyDescent="0.2">
      <c r="A9" s="165" t="s">
        <v>281</v>
      </c>
      <c r="B9" s="231">
        <v>-2037814.44</v>
      </c>
      <c r="C9" s="231">
        <f>SUM(C6:C8)</f>
        <v>-2017119</v>
      </c>
      <c r="D9" s="232">
        <f>SUM(D6:D8)</f>
        <v>-924992.4800000001</v>
      </c>
      <c r="E9" s="231">
        <v>0</v>
      </c>
      <c r="F9" s="233">
        <v>-1701516.18</v>
      </c>
      <c r="G9" s="234"/>
      <c r="H9" s="235">
        <f>SUM(H6:H8)</f>
        <v>-1852304.9</v>
      </c>
      <c r="I9" s="236">
        <f>C9-H9</f>
        <v>-164814.10000000009</v>
      </c>
      <c r="J9" s="237"/>
      <c r="K9" s="238">
        <f>SUM(K6:K8)</f>
        <v>-1807220</v>
      </c>
      <c r="L9" s="169"/>
    </row>
  </sheetData>
  <mergeCells count="1">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Index</vt:lpstr>
      <vt:lpstr>Rate Doc Requirements</vt:lpstr>
      <vt:lpstr>Ex 1 Rate Calc </vt:lpstr>
      <vt:lpstr>Ex 2 Salary Sch #1</vt:lpstr>
      <vt:lpstr>Ex 3 Salary Sch #2</vt:lpstr>
      <vt:lpstr>Ex 4 Direct Cost Sch</vt:lpstr>
      <vt:lpstr>Ex 5 Equip Depr Sch</vt:lpstr>
      <vt:lpstr>Ex 6 Revenue Sch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J. Ingalls</dc:creator>
  <cp:lastModifiedBy>Microsoft Office User</cp:lastModifiedBy>
  <cp:lastPrinted>2016-06-06T15:25:49Z</cp:lastPrinted>
  <dcterms:created xsi:type="dcterms:W3CDTF">2016-06-06T15:29:41Z</dcterms:created>
  <dcterms:modified xsi:type="dcterms:W3CDTF">2019-02-08T20:54:40Z</dcterms:modified>
</cp:coreProperties>
</file>