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809"/>
  <workbookPr/>
  <mc:AlternateContent xmlns:mc="http://schemas.openxmlformats.org/markup-compatibility/2006">
    <mc:Choice Requires="x15">
      <x15ac:absPath xmlns:x15ac="http://schemas.microsoft.com/office/spreadsheetml/2010/11/ac" url="/Users/kateeverett/Documents/Finance/DOCUMENTS/PURCHASING TAB /"/>
    </mc:Choice>
  </mc:AlternateContent>
  <bookViews>
    <workbookView xWindow="19020" yWindow="13360" windowWidth="23040" windowHeight="10160" tabRatio="713"/>
  </bookViews>
  <sheets>
    <sheet name="Index" sheetId="6" r:id="rId1"/>
    <sheet name="Fee Schedule Requirements" sheetId="7" r:id="rId2"/>
    <sheet name="Ex 1 Fee Schedule 1  - Calc" sheetId="2" r:id="rId3"/>
    <sheet name="Ex 2 Fee Schedule 1 - Publish" sheetId="3" r:id="rId4"/>
    <sheet name="Ex 3 Revenue Projection" sheetId="1" r:id="rId5"/>
    <sheet name="Ex 4 Flow Fee Sch " sheetId="4" r:id="rId6"/>
    <sheet name="Ex 5 Genomics Fee Sch" sheetId="5" r:id="rId7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3" l="1"/>
  <c r="F19" i="3"/>
  <c r="K48" i="2"/>
  <c r="J48" i="2"/>
  <c r="K47" i="2"/>
  <c r="J47" i="2"/>
  <c r="K45" i="2"/>
  <c r="J45" i="2"/>
  <c r="K44" i="2"/>
  <c r="J44" i="2"/>
  <c r="K43" i="2"/>
  <c r="J43" i="2"/>
  <c r="K42" i="2"/>
  <c r="J42" i="2"/>
  <c r="K41" i="2"/>
  <c r="J41" i="2"/>
  <c r="K40" i="2"/>
  <c r="J40" i="2"/>
  <c r="K39" i="2"/>
  <c r="J39" i="2"/>
  <c r="K38" i="2"/>
  <c r="J38" i="2"/>
  <c r="K37" i="2"/>
  <c r="J37" i="2"/>
  <c r="K36" i="2"/>
  <c r="J36" i="2"/>
  <c r="I33" i="2"/>
  <c r="I50" i="2"/>
  <c r="H33" i="2"/>
  <c r="H50" i="2"/>
  <c r="G33" i="2"/>
  <c r="G50" i="2"/>
  <c r="E33" i="2"/>
  <c r="E50" i="2"/>
  <c r="D33" i="2"/>
  <c r="D50" i="2"/>
  <c r="C33" i="2"/>
  <c r="C50" i="2"/>
  <c r="B33" i="2"/>
  <c r="S31" i="2"/>
  <c r="Q31" i="2"/>
  <c r="N31" i="2"/>
  <c r="K31" i="2"/>
  <c r="J31" i="2"/>
  <c r="S30" i="2"/>
  <c r="Q30" i="2"/>
  <c r="N30" i="2"/>
  <c r="K30" i="2"/>
  <c r="J30" i="2"/>
  <c r="S29" i="2"/>
  <c r="Q29" i="2"/>
  <c r="K29" i="2"/>
  <c r="J29" i="2"/>
  <c r="M29" i="2"/>
  <c r="N29" i="2"/>
  <c r="S28" i="2"/>
  <c r="Q28" i="2"/>
  <c r="N28" i="2"/>
  <c r="K28" i="2"/>
  <c r="J28" i="2"/>
  <c r="S27" i="2"/>
  <c r="Q27" i="2"/>
  <c r="K27" i="2"/>
  <c r="J27" i="2"/>
  <c r="M27" i="2"/>
  <c r="N27" i="2"/>
  <c r="S26" i="2"/>
  <c r="Q26" i="2"/>
  <c r="N26" i="2"/>
  <c r="K26" i="2"/>
  <c r="J26" i="2"/>
  <c r="S25" i="2"/>
  <c r="Q25" i="2"/>
  <c r="N25" i="2"/>
  <c r="K25" i="2"/>
  <c r="J25" i="2"/>
  <c r="S24" i="2"/>
  <c r="Q24" i="2"/>
  <c r="F24" i="2"/>
  <c r="J24" i="2"/>
  <c r="M24" i="2"/>
  <c r="N24" i="2"/>
  <c r="S23" i="2"/>
  <c r="Q23" i="2"/>
  <c r="N23" i="2"/>
  <c r="K23" i="2"/>
  <c r="J23" i="2"/>
  <c r="S22" i="2"/>
  <c r="Q22" i="2"/>
  <c r="F22" i="2"/>
  <c r="J22" i="2"/>
  <c r="M22" i="2"/>
  <c r="N22" i="2"/>
  <c r="S21" i="2"/>
  <c r="Q21" i="2"/>
  <c r="N21" i="2"/>
  <c r="K21" i="2"/>
  <c r="J21" i="2"/>
  <c r="S20" i="2"/>
  <c r="Q20" i="2"/>
  <c r="K20" i="2"/>
  <c r="J20" i="2"/>
  <c r="M20" i="2"/>
  <c r="S19" i="2"/>
  <c r="Q19" i="2"/>
  <c r="N19" i="2"/>
  <c r="K19" i="2"/>
  <c r="J19" i="2"/>
  <c r="S18" i="2"/>
  <c r="Q18" i="2"/>
  <c r="N18" i="2"/>
  <c r="K18" i="2"/>
  <c r="J18" i="2"/>
  <c r="S17" i="2"/>
  <c r="Q17" i="2"/>
  <c r="N17" i="2"/>
  <c r="K17" i="2"/>
  <c r="J17" i="2"/>
  <c r="S16" i="2"/>
  <c r="Q16" i="2"/>
  <c r="N16" i="2"/>
  <c r="K16" i="2"/>
  <c r="J16" i="2"/>
  <c r="S15" i="2"/>
  <c r="Q15" i="2"/>
  <c r="N15" i="2"/>
  <c r="K15" i="2"/>
  <c r="J15" i="2"/>
  <c r="S14" i="2"/>
  <c r="Q14" i="2"/>
  <c r="N14" i="2"/>
  <c r="K14" i="2"/>
  <c r="J14" i="2"/>
  <c r="S13" i="2"/>
  <c r="Q13" i="2"/>
  <c r="N13" i="2"/>
  <c r="K13" i="2"/>
  <c r="J13" i="2"/>
  <c r="S12" i="2"/>
  <c r="N12" i="2"/>
  <c r="K12" i="2"/>
  <c r="J12" i="2"/>
  <c r="S11" i="2"/>
  <c r="N11" i="2"/>
  <c r="K11" i="2"/>
  <c r="J11" i="2"/>
  <c r="S10" i="2"/>
  <c r="N10" i="2"/>
  <c r="K10" i="2"/>
  <c r="J10" i="2"/>
  <c r="S9" i="2"/>
  <c r="N9" i="2"/>
  <c r="K9" i="2"/>
  <c r="J9" i="2"/>
  <c r="S8" i="2"/>
  <c r="N8" i="2"/>
  <c r="K8" i="2"/>
  <c r="J8" i="2"/>
  <c r="C9" i="1"/>
  <c r="K8" i="1"/>
  <c r="K9" i="1"/>
  <c r="H8" i="1"/>
  <c r="H9" i="1"/>
  <c r="D8" i="1"/>
  <c r="I7" i="1"/>
  <c r="D7" i="1"/>
  <c r="I6" i="1"/>
  <c r="S50" i="2"/>
  <c r="J33" i="2"/>
  <c r="Q50" i="2"/>
  <c r="K22" i="2"/>
  <c r="K24" i="2"/>
  <c r="N20" i="2"/>
  <c r="M33" i="2"/>
  <c r="S55" i="2"/>
  <c r="B50" i="2"/>
  <c r="F33" i="2"/>
  <c r="F50" i="2"/>
  <c r="D9" i="1"/>
  <c r="I9" i="1"/>
  <c r="I8" i="1"/>
  <c r="K50" i="2"/>
  <c r="M50" i="2"/>
  <c r="J50" i="2"/>
  <c r="K33" i="2"/>
</calcChain>
</file>

<file path=xl/sharedStrings.xml><?xml version="1.0" encoding="utf-8"?>
<sst xmlns="http://schemas.openxmlformats.org/spreadsheetml/2006/main" count="343" uniqueCount="219">
  <si>
    <t>FY YE Total</t>
  </si>
  <si>
    <t>FY15 Budget</t>
  </si>
  <si>
    <t>FY15 Actuals thru Q2</t>
  </si>
  <si>
    <t>Encumbrance</t>
  </si>
  <si>
    <t>Budget Balance Available</t>
  </si>
  <si>
    <t>Comments</t>
  </si>
  <si>
    <t>Projected YE Total FY15</t>
  </si>
  <si>
    <r>
      <rPr>
        <b/>
        <sz val="8"/>
        <rFont val="Tahoma"/>
        <family val="2"/>
      </rPr>
      <t xml:space="preserve">Over/Under </t>
    </r>
    <r>
      <rPr>
        <b/>
        <sz val="8"/>
        <color rgb="FF000000"/>
        <rFont val="Tahoma"/>
        <family val="2"/>
      </rPr>
      <t>Budget</t>
    </r>
  </si>
  <si>
    <t>FY16 Budget</t>
  </si>
  <si>
    <t>Natclass</t>
  </si>
  <si>
    <t>4658-OTHR INC Refunds</t>
  </si>
  <si>
    <t>4663-OTHR INC Service Fees</t>
  </si>
  <si>
    <t>4824-SERVICE CTR Research Animals Fee</t>
  </si>
  <si>
    <t>REVENUE Total</t>
  </si>
  <si>
    <t xml:space="preserve">FY15 YE Projections and FY16 Budget </t>
  </si>
  <si>
    <t>REVENUE SUMMARY FY15</t>
  </si>
  <si>
    <t>FY16 Proposed Rate</t>
  </si>
  <si>
    <t>FY16 Projections</t>
  </si>
  <si>
    <t>Through</t>
  </si>
  <si>
    <t>Dec '14</t>
  </si>
  <si>
    <t>FY15</t>
  </si>
  <si>
    <t>Monthly</t>
  </si>
  <si>
    <t>FY15 Per</t>
  </si>
  <si>
    <t>FY15 Proj.</t>
  </si>
  <si>
    <t>FY16 Proj.</t>
  </si>
  <si>
    <t>Jul 14</t>
  </si>
  <si>
    <t>Aug 14</t>
  </si>
  <si>
    <t>Sep 14</t>
  </si>
  <si>
    <t>Oct 14</t>
  </si>
  <si>
    <t>Nov 14</t>
  </si>
  <si>
    <t>Dec 14</t>
  </si>
  <si>
    <t>Jan 15</t>
  </si>
  <si>
    <t>Feb 15</t>
  </si>
  <si>
    <t>Total</t>
  </si>
  <si>
    <t>Average</t>
  </si>
  <si>
    <t>Diem Rate</t>
  </si>
  <si>
    <t>Revenue</t>
  </si>
  <si>
    <t>Caredays</t>
  </si>
  <si>
    <t>Bat</t>
  </si>
  <si>
    <t>Minimal bat use expected</t>
  </si>
  <si>
    <t>Canine</t>
  </si>
  <si>
    <t>Chinchilla</t>
  </si>
  <si>
    <t>Chinchilla Iso</t>
  </si>
  <si>
    <t>Feline</t>
  </si>
  <si>
    <t>Ferret</t>
  </si>
  <si>
    <t>Fish - Small Tank</t>
  </si>
  <si>
    <t>Fish - Medium Tank</t>
  </si>
  <si>
    <t>Fish - Large Tank</t>
  </si>
  <si>
    <t>Guinea Pig</t>
  </si>
  <si>
    <t>Hamster</t>
  </si>
  <si>
    <t>Hamster Iso</t>
  </si>
  <si>
    <t>Mice - Per Cage</t>
  </si>
  <si>
    <t>Lower caredays in FY15 due to fur mite quarantine</t>
  </si>
  <si>
    <t>Mice - Per Large Cage</t>
  </si>
  <si>
    <t>Mice Iso - Per Cage</t>
  </si>
  <si>
    <t>Higher caredays in FY15 due to fur mite quarantine</t>
  </si>
  <si>
    <t>Piglet</t>
  </si>
  <si>
    <t>Primate</t>
  </si>
  <si>
    <t>Rabbit</t>
  </si>
  <si>
    <t>Rabbit Iso</t>
  </si>
  <si>
    <t>Rat</t>
  </si>
  <si>
    <t>Rat Iso</t>
  </si>
  <si>
    <t>Sheep/Goat</t>
  </si>
  <si>
    <t>Swine</t>
  </si>
  <si>
    <t>Voles - Per Cage</t>
  </si>
  <si>
    <t>"SPECIES ONLY" REVENUE</t>
  </si>
  <si>
    <t>Large Animal Disposal Fee</t>
  </si>
  <si>
    <t>Charge $125/Box - Pigs, Sheep, Goats</t>
  </si>
  <si>
    <t>Late Wean Fees</t>
  </si>
  <si>
    <t>Tech Time</t>
  </si>
  <si>
    <t>Vet Time</t>
  </si>
  <si>
    <t>If Moodie is 100% CCMR, more billed time</t>
  </si>
  <si>
    <t>Room Usage</t>
  </si>
  <si>
    <t>Drugs</t>
  </si>
  <si>
    <t>Shipping</t>
  </si>
  <si>
    <t>Lab Supplies</t>
  </si>
  <si>
    <t>Serology</t>
  </si>
  <si>
    <t>Feed/Bedding</t>
  </si>
  <si>
    <t>Misc. Revenue (Immunext/RX)</t>
  </si>
  <si>
    <t>Declining revenue through 1st half FY15</t>
  </si>
  <si>
    <t>Misc. Revenue (Celdara)</t>
  </si>
  <si>
    <t>TOTAL REVENUE</t>
  </si>
  <si>
    <t>Prior/Current Year</t>
  </si>
  <si>
    <t>FY16 Revenue Projection</t>
  </si>
  <si>
    <t xml:space="preserve"> @ FY16 Proposed Rate</t>
  </si>
  <si>
    <t>FY16 Revenue projection</t>
  </si>
  <si>
    <t xml:space="preserve"> @ FY15 Rates</t>
  </si>
  <si>
    <t>Projected FY16 Expenses per  Budget</t>
  </si>
  <si>
    <t>FY16 Rate</t>
  </si>
  <si>
    <t>8-color MACSQuant (Borwell) Assisted Internal Rate</t>
  </si>
  <si>
    <t>$75.00 /hr</t>
  </si>
  <si>
    <t>Scheduling required</t>
  </si>
  <si>
    <t>8-color MACSQuant (Borwell) Cancellation Fee</t>
  </si>
  <si>
    <t>$50.00 /hr</t>
  </si>
  <si>
    <t>8-color MACSQuant (Borwell) Concession</t>
  </si>
  <si>
    <t>8-color MACSQuant (Borwell) Corporate Rate</t>
  </si>
  <si>
    <t>$100.00 / hr</t>
  </si>
  <si>
    <t>8-color MACSQuant (Borwell) Maintenance</t>
  </si>
  <si>
    <t>8-color MACSQuant (Borwell) Standard Rate</t>
  </si>
  <si>
    <t>$50.00 / hr</t>
  </si>
  <si>
    <t>8-color MACSQuant (Borwell) Training</t>
  </si>
  <si>
    <t>8-color MACSQuant VYB (Hanover) Maintenance</t>
  </si>
  <si>
    <t>8-color MACSQuant VYB (Hanover) Standard Rate</t>
  </si>
  <si>
    <t>Aria Standard Rate</t>
  </si>
  <si>
    <t>$75.00 / hr</t>
  </si>
  <si>
    <t>Calibur Standard Rate</t>
  </si>
  <si>
    <t>Canto Maintenance</t>
  </si>
  <si>
    <t>Canto Standard Rate</t>
  </si>
  <si>
    <t>Gallios Assisted Internal Rate</t>
  </si>
  <si>
    <t>$75.00 hour</t>
  </si>
  <si>
    <r>
      <t>Restricted Access</t>
    </r>
    <r>
      <rPr>
        <sz val="12"/>
        <color theme="1"/>
        <rFont val="Times New Roman"/>
        <family val="1"/>
      </rPr>
      <t>, contact Core admins for assistance</t>
    </r>
  </si>
  <si>
    <t>Gallios Assisted Outside Rate</t>
  </si>
  <si>
    <t>$150.00 hour</t>
  </si>
  <si>
    <t>Gallios Concession</t>
  </si>
  <si>
    <t>$.00 hour</t>
  </si>
  <si>
    <t>Gallios Corporate Rate</t>
  </si>
  <si>
    <t>$100.00 hour</t>
  </si>
  <si>
    <t>Gallios Maintenance</t>
  </si>
  <si>
    <t>Gallios Trained User Rate</t>
  </si>
  <si>
    <t>$50.00 hour</t>
  </si>
  <si>
    <t>Gallios Training</t>
  </si>
  <si>
    <t>Sorter Setup</t>
  </si>
  <si>
    <t>Rate</t>
  </si>
  <si>
    <t>Notes</t>
  </si>
  <si>
    <t>Aria Non-Sterile Sorter Setup</t>
  </si>
  <si>
    <t>$75.00 each</t>
  </si>
  <si>
    <t>Aria Sterile Sorter Setup</t>
  </si>
  <si>
    <t>$150.00 each</t>
  </si>
  <si>
    <t>Tech time</t>
  </si>
  <si>
    <t>Service</t>
  </si>
  <si>
    <t>Other</t>
  </si>
  <si>
    <t>For inquiries contact: XXXX.XXXX@dartmouth.edu</t>
  </si>
  <si>
    <t>Item/Service</t>
  </si>
  <si>
    <t>FY16 Rate - Fee Schedule 1</t>
  </si>
  <si>
    <t>Based on Fee Schedule 1 - Calc</t>
  </si>
  <si>
    <t>Affy MA Human Gene 1.0ST Arrays</t>
  </si>
  <si>
    <t>$510.00 /sample</t>
  </si>
  <si>
    <t>Affy MA Mouse Gene 1.0ST Arrays</t>
  </si>
  <si>
    <t>Affy MA Rat Gene 1.0ST Arrays</t>
  </si>
  <si>
    <t>Affy MA miRNA Arrays</t>
  </si>
  <si>
    <t>$450.00 /sample</t>
  </si>
  <si>
    <t>Services - BioAnalyzer/Fragment Analyzer/Quantification (QC of RNA/DNA)</t>
  </si>
  <si>
    <t>$10.00 /sample</t>
  </si>
  <si>
    <t>Services - ETOH Precipitation of RNA/DNA</t>
  </si>
  <si>
    <t>$40.00 /sample</t>
  </si>
  <si>
    <t>Services - RNA/DNA Isolation</t>
  </si>
  <si>
    <t>$75.00 /sample</t>
  </si>
  <si>
    <t>Special Services</t>
  </si>
  <si>
    <t>$.00 /service</t>
  </si>
  <si>
    <t>DNA Sequencing</t>
  </si>
  <si>
    <t>Illumina NextSeq 150x ( Run time )</t>
  </si>
  <si>
    <t>$150.00 /run</t>
  </si>
  <si>
    <t>Illumina NextSeq 300x ( Run time )</t>
  </si>
  <si>
    <t>$300.00 /run</t>
  </si>
  <si>
    <t>Illumina Microarrays</t>
  </si>
  <si>
    <t>Illum MA HumanHT-12 Gene Expression Arrays</t>
  </si>
  <si>
    <t>$225.00 /sample</t>
  </si>
  <si>
    <t>Illum MA Mouse Ref-8 Gene Expression Arrays</t>
  </si>
  <si>
    <t>$275.00 /sample</t>
  </si>
  <si>
    <t>Illum MA Mouse WG-6 Gene Expression Arrays</t>
  </si>
  <si>
    <t>$375.00 /sample</t>
  </si>
  <si>
    <t>Illumina Sequencing</t>
  </si>
  <si>
    <t>Biostatistics for DNA-seq</t>
  </si>
  <si>
    <t>$65.00 /hour</t>
  </si>
  <si>
    <t>Biostatistics for RNA-seq</t>
  </si>
  <si>
    <t>Data Analysis for DNA-seq</t>
  </si>
  <si>
    <t>Data Analysis for RNA-seq</t>
  </si>
  <si>
    <t>Illumina 100 Paired end read sequencing</t>
  </si>
  <si>
    <t>$2,783.00 /run</t>
  </si>
  <si>
    <t>Illumina 100 single read sequencing</t>
  </si>
  <si>
    <t>$1,633.50 /run</t>
  </si>
  <si>
    <t>Illumina 50 Paired end read sequencing</t>
  </si>
  <si>
    <t>$1,863.00 /run</t>
  </si>
  <si>
    <t>Illumina 50 single read sequencing</t>
  </si>
  <si>
    <t>$1,210.00 /run</t>
  </si>
  <si>
    <t>Illumina Chip Seq Library Prep</t>
  </si>
  <si>
    <t>$250.00 /sample</t>
  </si>
  <si>
    <t>Illumina DNA Library Prep</t>
  </si>
  <si>
    <t>Illumina Data acquisition</t>
  </si>
  <si>
    <t>Illumina RNA Library Prep</t>
  </si>
  <si>
    <t>Illumina miRNA Library Prep</t>
  </si>
  <si>
    <t>Ion Torrent Sequencing</t>
  </si>
  <si>
    <t>Ion Torrent 541 Haloplex Cancer Panel Library Prep</t>
  </si>
  <si>
    <t>$460.00 /sample</t>
  </si>
  <si>
    <t>Ion Torrent AmpliSeq 50 gene Cancer Panel Library Prep</t>
  </si>
  <si>
    <t>$350.00 /sample</t>
  </si>
  <si>
    <t>Ion Torrent Ampliseq Exome Library Prep</t>
  </si>
  <si>
    <t>Ion Torrent DNA Library Prep</t>
  </si>
  <si>
    <t>$200.00 /sample</t>
  </si>
  <si>
    <t>Ion Torrent Data Acquisition</t>
  </si>
  <si>
    <t>$100.00 /sample</t>
  </si>
  <si>
    <t>Ion Torrent PGM Sequencing-314 Chip</t>
  </si>
  <si>
    <t>$799.00 /sample</t>
  </si>
  <si>
    <t>Ion Torrent PGM Sequencing-316 Chip</t>
  </si>
  <si>
    <t>$1,099.00 /sample</t>
  </si>
  <si>
    <t>Ion Torrent PGM Sequencing-318 Chip</t>
  </si>
  <si>
    <t>$1,299.00 /sample</t>
  </si>
  <si>
    <t>Ion Torrent Proton Sequencing PI Chip</t>
  </si>
  <si>
    <t>$1,349.00 /sample</t>
  </si>
  <si>
    <t>Ion Torrent RNA Library Prep</t>
  </si>
  <si>
    <t>Ion Torrent miRNA Library Prep</t>
  </si>
  <si>
    <t>Other Services</t>
  </si>
  <si>
    <t>Index</t>
  </si>
  <si>
    <t>Ex 1 Fee Schedule 1  - Calc</t>
  </si>
  <si>
    <t>Ex 2 Fee Schedule 1 - Publish</t>
  </si>
  <si>
    <t xml:space="preserve">Ex 3  Revenue Projection </t>
  </si>
  <si>
    <t>FY15 Projection / FY16 Budget Calculation</t>
  </si>
  <si>
    <t xml:space="preserve">Fee Schedule based on Calculation </t>
  </si>
  <si>
    <t>Budgeted Revenue by NC based on Calculation</t>
  </si>
  <si>
    <t>Ex 4 Flow Fee Sch</t>
  </si>
  <si>
    <t>Fee Schedule Example</t>
  </si>
  <si>
    <t>Ex 5 Genomics Fee Sch</t>
  </si>
  <si>
    <t>Fee schedules must be based on rate calculations</t>
  </si>
  <si>
    <t>Fee schedules must be made available each year</t>
  </si>
  <si>
    <t>Fee schedule history must be maintained for each year per record retention guidelines</t>
  </si>
  <si>
    <t>Fee schedules must include contact information</t>
  </si>
  <si>
    <t>Inquires: xxxx.xxxxxxxxxx@dartmouth.edu</t>
  </si>
  <si>
    <t>Inquires: xxxxxx.xxxxxxxx@dartmouth.edu</t>
  </si>
  <si>
    <t>Fee Schedule Requirements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</si>
</sst>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8" formatCode="&quot;$&quot;#,##0.00_);[Red]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3"/>
      <name val="Arial"/>
      <family val="2"/>
    </font>
    <font>
      <sz val="8"/>
      <color theme="1"/>
      <name val="Arial"/>
      <family val="2"/>
    </font>
    <font>
      <sz val="8"/>
      <color rgb="FF0070C0"/>
      <name val="Arial"/>
      <family val="2"/>
    </font>
    <font>
      <b/>
      <sz val="8"/>
      <color theme="1"/>
      <name val="Arial"/>
      <family val="2"/>
    </font>
    <font>
      <b/>
      <sz val="8"/>
      <color rgb="FF000000"/>
      <name val="Tahoma"/>
      <family val="2"/>
    </font>
    <font>
      <b/>
      <sz val="8"/>
      <name val="Tahoma"/>
      <family val="2"/>
    </font>
    <font>
      <sz val="8"/>
      <color rgb="FF000000"/>
      <name val="Tahoma"/>
      <family val="2"/>
    </font>
    <font>
      <sz val="8"/>
      <name val="Tahoma"/>
      <family val="2"/>
    </font>
    <font>
      <b/>
      <sz val="8"/>
      <color rgb="FFFF0000"/>
      <name val="Tahoma"/>
      <family val="2"/>
    </font>
    <font>
      <b/>
      <u/>
      <sz val="14"/>
      <name val="Calibri"/>
      <family val="2"/>
    </font>
    <font>
      <sz val="9"/>
      <color theme="1"/>
      <name val="Calibri"/>
      <family val="2"/>
    </font>
    <font>
      <b/>
      <sz val="9"/>
      <color theme="1"/>
      <name val="Calibri"/>
      <family val="2"/>
    </font>
    <font>
      <b/>
      <sz val="9"/>
      <color rgb="FFFF0000"/>
      <name val="Calibri"/>
      <family val="2"/>
    </font>
    <font>
      <b/>
      <sz val="9"/>
      <name val="Calibri"/>
      <family val="2"/>
    </font>
    <font>
      <u/>
      <sz val="9"/>
      <name val="Calibri"/>
      <family val="2"/>
    </font>
    <font>
      <sz val="9"/>
      <name val="Calibri"/>
      <family val="2"/>
    </font>
    <font>
      <sz val="10"/>
      <name val="Geneva"/>
    </font>
    <font>
      <b/>
      <sz val="9"/>
      <color theme="6" tint="-0.249977111117893"/>
      <name val="Calibri"/>
      <family val="2"/>
    </font>
    <font>
      <b/>
      <sz val="9"/>
      <color theme="9" tint="-0.249977111117893"/>
      <name val="Calibri"/>
      <family val="2"/>
    </font>
    <font>
      <sz val="9"/>
      <color theme="9" tint="-0.249977111117893"/>
      <name val="Calibri"/>
      <family val="2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0"/>
      <color theme="1"/>
      <name val="Times New Roman"/>
      <family val="1"/>
    </font>
    <font>
      <b/>
      <sz val="16"/>
      <color theme="1"/>
      <name val="Calibri"/>
      <family val="2"/>
      <scheme val="minor"/>
    </font>
    <font>
      <b/>
      <sz val="14"/>
      <name val="Geneva"/>
    </font>
    <font>
      <u/>
      <sz val="11"/>
      <color theme="1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FFFFEF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3F2EA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rgb="FF979991"/>
      </left>
      <right/>
      <top style="medium">
        <color rgb="FF979991"/>
      </top>
      <bottom/>
      <diagonal/>
    </border>
    <border>
      <left style="medium">
        <color rgb="FF979991"/>
      </left>
      <right style="medium">
        <color rgb="FF979991"/>
      </right>
      <top style="medium">
        <color rgb="FF979991"/>
      </top>
      <bottom/>
      <diagonal/>
    </border>
    <border>
      <left/>
      <right style="medium">
        <color rgb="FF979991"/>
      </right>
      <top style="medium">
        <color rgb="FF979991"/>
      </top>
      <bottom/>
      <diagonal/>
    </border>
    <border>
      <left style="medium">
        <color rgb="FF979991"/>
      </left>
      <right/>
      <top style="medium">
        <color rgb="FF979991"/>
      </top>
      <bottom style="medium">
        <color rgb="FF97999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8" fontId="19" fillId="0" borderId="0" applyFont="0" applyFill="0" applyBorder="0" applyAlignment="0" applyProtection="0"/>
    <xf numFmtId="0" fontId="28" fillId="0" borderId="0" applyNumberFormat="0" applyFill="0" applyBorder="0" applyAlignment="0" applyProtection="0"/>
  </cellStyleXfs>
  <cellXfs count="155">
    <xf numFmtId="0" fontId="0" fillId="0" borderId="0" xfId="0"/>
    <xf numFmtId="0" fontId="4" fillId="0" borderId="0" xfId="0" applyFont="1" applyFill="1" applyAlignment="1">
      <alignment horizontal="right" vertical="top" wrapText="1"/>
    </xf>
    <xf numFmtId="0" fontId="5" fillId="0" borderId="0" xfId="0" applyFont="1" applyFill="1" applyAlignment="1">
      <alignment vertical="top" wrapText="1"/>
    </xf>
    <xf numFmtId="0" fontId="4" fillId="0" borderId="0" xfId="0" applyFont="1" applyAlignment="1">
      <alignment vertical="top" wrapText="1"/>
    </xf>
    <xf numFmtId="0" fontId="4" fillId="0" borderId="0" xfId="0" applyFont="1"/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right" vertical="top" wrapText="1"/>
    </xf>
    <xf numFmtId="0" fontId="6" fillId="0" borderId="1" xfId="0" applyFont="1" applyBorder="1" applyAlignment="1">
      <alignment wrapText="1"/>
    </xf>
    <xf numFmtId="49" fontId="7" fillId="2" borderId="1" xfId="0" applyNumberFormat="1" applyFont="1" applyFill="1" applyBorder="1" applyAlignment="1">
      <alignment horizontal="right" wrapText="1"/>
    </xf>
    <xf numFmtId="49" fontId="7" fillId="2" borderId="2" xfId="0" applyNumberFormat="1" applyFont="1" applyFill="1" applyBorder="1" applyAlignment="1">
      <alignment horizontal="right" wrapText="1"/>
    </xf>
    <xf numFmtId="49" fontId="7" fillId="3" borderId="0" xfId="0" applyNumberFormat="1" applyFont="1" applyFill="1" applyBorder="1" applyAlignment="1">
      <alignment horizontal="right" wrapText="1"/>
    </xf>
    <xf numFmtId="49" fontId="7" fillId="4" borderId="3" xfId="0" applyNumberFormat="1" applyFont="1" applyFill="1" applyBorder="1" applyAlignment="1">
      <alignment horizontal="right" wrapText="1"/>
    </xf>
    <xf numFmtId="49" fontId="7" fillId="4" borderId="2" xfId="0" applyNumberFormat="1" applyFont="1" applyFill="1" applyBorder="1" applyAlignment="1">
      <alignment horizontal="right" wrapText="1"/>
    </xf>
    <xf numFmtId="0" fontId="6" fillId="0" borderId="0" xfId="0" applyFont="1"/>
    <xf numFmtId="0" fontId="9" fillId="2" borderId="4" xfId="0" applyFont="1" applyFill="1" applyBorder="1" applyAlignment="1">
      <alignment wrapText="1"/>
    </xf>
    <xf numFmtId="0" fontId="9" fillId="2" borderId="1" xfId="0" applyFont="1" applyFill="1" applyBorder="1" applyAlignment="1">
      <alignment wrapText="1"/>
    </xf>
    <xf numFmtId="0" fontId="10" fillId="2" borderId="1" xfId="0" applyFont="1" applyFill="1" applyBorder="1" applyAlignment="1">
      <alignment wrapText="1"/>
    </xf>
    <xf numFmtId="0" fontId="9" fillId="2" borderId="2" xfId="0" applyFont="1" applyFill="1" applyBorder="1" applyAlignment="1">
      <alignment wrapText="1"/>
    </xf>
    <xf numFmtId="0" fontId="9" fillId="2" borderId="2" xfId="0" applyFont="1" applyFill="1" applyBorder="1" applyAlignment="1">
      <alignment horizontal="left" wrapText="1"/>
    </xf>
    <xf numFmtId="4" fontId="9" fillId="5" borderId="2" xfId="0" applyNumberFormat="1" applyFont="1" applyFill="1" applyBorder="1" applyAlignment="1">
      <alignment horizontal="right" wrapText="1"/>
    </xf>
    <xf numFmtId="0" fontId="9" fillId="2" borderId="1" xfId="0" applyFont="1" applyFill="1" applyBorder="1" applyAlignment="1">
      <alignment horizontal="right" wrapText="1"/>
    </xf>
    <xf numFmtId="0" fontId="9" fillId="3" borderId="0" xfId="0" applyFont="1" applyFill="1" applyBorder="1" applyAlignment="1">
      <alignment horizontal="right" wrapText="1"/>
    </xf>
    <xf numFmtId="0" fontId="9" fillId="4" borderId="3" xfId="0" applyFont="1" applyFill="1" applyBorder="1" applyAlignment="1">
      <alignment horizontal="right" wrapText="1"/>
    </xf>
    <xf numFmtId="0" fontId="9" fillId="4" borderId="2" xfId="0" applyFont="1" applyFill="1" applyBorder="1" applyAlignment="1">
      <alignment horizontal="right" wrapText="1"/>
    </xf>
    <xf numFmtId="49" fontId="9" fillId="2" borderId="4" xfId="0" applyNumberFormat="1" applyFont="1" applyFill="1" applyBorder="1" applyAlignment="1">
      <alignment vertical="top" wrapText="1"/>
    </xf>
    <xf numFmtId="4" fontId="9" fillId="6" borderId="1" xfId="0" applyNumberFormat="1" applyFont="1" applyFill="1" applyBorder="1" applyAlignment="1">
      <alignment horizontal="right" vertical="top" wrapText="1"/>
    </xf>
    <xf numFmtId="4" fontId="10" fillId="6" borderId="1" xfId="0" applyNumberFormat="1" applyFont="1" applyFill="1" applyBorder="1" applyAlignment="1">
      <alignment horizontal="right" vertical="top" wrapText="1"/>
    </xf>
    <xf numFmtId="4" fontId="9" fillId="6" borderId="2" xfId="0" applyNumberFormat="1" applyFont="1" applyFill="1" applyBorder="1" applyAlignment="1">
      <alignment horizontal="right" vertical="top" wrapText="1"/>
    </xf>
    <xf numFmtId="4" fontId="9" fillId="6" borderId="2" xfId="0" applyNumberFormat="1" applyFont="1" applyFill="1" applyBorder="1" applyAlignment="1">
      <alignment horizontal="left" vertical="top" wrapText="1"/>
    </xf>
    <xf numFmtId="4" fontId="9" fillId="5" borderId="2" xfId="0" applyNumberFormat="1" applyFont="1" applyFill="1" applyBorder="1" applyAlignment="1">
      <alignment horizontal="right" vertical="top" wrapText="1"/>
    </xf>
    <xf numFmtId="4" fontId="9" fillId="7" borderId="1" xfId="0" applyNumberFormat="1" applyFont="1" applyFill="1" applyBorder="1" applyAlignment="1">
      <alignment horizontal="right" vertical="top" wrapText="1"/>
    </xf>
    <xf numFmtId="4" fontId="9" fillId="3" borderId="0" xfId="0" applyNumberFormat="1" applyFont="1" applyFill="1" applyBorder="1" applyAlignment="1">
      <alignment horizontal="right" vertical="top" wrapText="1"/>
    </xf>
    <xf numFmtId="4" fontId="9" fillId="4" borderId="3" xfId="0" applyNumberFormat="1" applyFont="1" applyFill="1" applyBorder="1" applyAlignment="1">
      <alignment horizontal="right" vertical="top" wrapText="1"/>
    </xf>
    <xf numFmtId="4" fontId="9" fillId="4" borderId="2" xfId="0" applyNumberFormat="1" applyFont="1" applyFill="1" applyBorder="1" applyAlignment="1">
      <alignment horizontal="right" vertical="top" wrapText="1"/>
    </xf>
    <xf numFmtId="49" fontId="7" fillId="2" borderId="4" xfId="0" applyNumberFormat="1" applyFont="1" applyFill="1" applyBorder="1" applyAlignment="1">
      <alignment vertical="top" wrapText="1"/>
    </xf>
    <xf numFmtId="4" fontId="7" fillId="7" borderId="1" xfId="0" applyNumberFormat="1" applyFont="1" applyFill="1" applyBorder="1" applyAlignment="1">
      <alignment horizontal="right" vertical="top" wrapText="1"/>
    </xf>
    <xf numFmtId="4" fontId="8" fillId="7" borderId="1" xfId="0" applyNumberFormat="1" applyFont="1" applyFill="1" applyBorder="1" applyAlignment="1">
      <alignment horizontal="right" vertical="top" wrapText="1"/>
    </xf>
    <xf numFmtId="4" fontId="7" fillId="7" borderId="2" xfId="0" applyNumberFormat="1" applyFont="1" applyFill="1" applyBorder="1" applyAlignment="1">
      <alignment horizontal="right" vertical="top" wrapText="1"/>
    </xf>
    <xf numFmtId="4" fontId="7" fillId="7" borderId="2" xfId="0" applyNumberFormat="1" applyFont="1" applyFill="1" applyBorder="1" applyAlignment="1">
      <alignment horizontal="left" vertical="top" wrapText="1"/>
    </xf>
    <xf numFmtId="4" fontId="7" fillId="5" borderId="2" xfId="0" applyNumberFormat="1" applyFont="1" applyFill="1" applyBorder="1" applyAlignment="1">
      <alignment horizontal="right" vertical="top" wrapText="1"/>
    </xf>
    <xf numFmtId="4" fontId="11" fillId="7" borderId="1" xfId="0" applyNumberFormat="1" applyFont="1" applyFill="1" applyBorder="1" applyAlignment="1">
      <alignment horizontal="right" vertical="top" wrapText="1"/>
    </xf>
    <xf numFmtId="4" fontId="7" fillId="3" borderId="0" xfId="0" applyNumberFormat="1" applyFont="1" applyFill="1" applyBorder="1" applyAlignment="1">
      <alignment horizontal="right" vertical="top" wrapText="1"/>
    </xf>
    <xf numFmtId="4" fontId="7" fillId="4" borderId="3" xfId="0" applyNumberFormat="1" applyFont="1" applyFill="1" applyBorder="1" applyAlignment="1">
      <alignment horizontal="right" vertical="top" wrapText="1"/>
    </xf>
    <xf numFmtId="4" fontId="7" fillId="4" borderId="2" xfId="0" applyNumberFormat="1" applyFont="1" applyFill="1" applyBorder="1" applyAlignment="1">
      <alignment horizontal="right" vertical="top" wrapText="1"/>
    </xf>
    <xf numFmtId="0" fontId="12" fillId="0" borderId="0" xfId="0" applyFont="1"/>
    <xf numFmtId="0" fontId="13" fillId="0" borderId="0" xfId="0" applyFont="1"/>
    <xf numFmtId="0" fontId="14" fillId="0" borderId="0" xfId="0" applyFont="1"/>
    <xf numFmtId="49" fontId="16" fillId="0" borderId="0" xfId="0" applyNumberFormat="1" applyFont="1" applyFill="1" applyAlignment="1">
      <alignment horizontal="center" wrapText="1"/>
    </xf>
    <xf numFmtId="0" fontId="17" fillId="0" borderId="0" xfId="0" applyFont="1" applyAlignment="1">
      <alignment wrapText="1"/>
    </xf>
    <xf numFmtId="49" fontId="16" fillId="0" borderId="0" xfId="0" applyNumberFormat="1" applyFont="1" applyAlignment="1">
      <alignment horizontal="center"/>
    </xf>
    <xf numFmtId="0" fontId="16" fillId="0" borderId="0" xfId="0" applyFont="1"/>
    <xf numFmtId="43" fontId="13" fillId="0" borderId="0" xfId="1" applyFont="1"/>
    <xf numFmtId="41" fontId="18" fillId="0" borderId="0" xfId="0" applyNumberFormat="1" applyFont="1" applyAlignment="1">
      <alignment horizontal="right"/>
    </xf>
    <xf numFmtId="39" fontId="13" fillId="0" borderId="0" xfId="0" applyNumberFormat="1" applyFont="1"/>
    <xf numFmtId="39" fontId="15" fillId="8" borderId="0" xfId="2" applyNumberFormat="1" applyFont="1" applyFill="1" applyAlignment="1">
      <alignment horizontal="center"/>
    </xf>
    <xf numFmtId="39" fontId="16" fillId="0" borderId="0" xfId="0" applyNumberFormat="1" applyFont="1"/>
    <xf numFmtId="41" fontId="16" fillId="0" borderId="0" xfId="0" applyNumberFormat="1" applyFont="1" applyFill="1" applyAlignment="1">
      <alignment horizontal="right"/>
    </xf>
    <xf numFmtId="41" fontId="18" fillId="0" borderId="0" xfId="0" applyNumberFormat="1" applyFont="1" applyFill="1" applyAlignment="1">
      <alignment horizontal="right"/>
    </xf>
    <xf numFmtId="39" fontId="16" fillId="0" borderId="0" xfId="0" applyNumberFormat="1" applyFont="1" applyAlignment="1">
      <alignment wrapText="1"/>
    </xf>
    <xf numFmtId="43" fontId="13" fillId="0" borderId="0" xfId="1" applyFont="1" applyAlignment="1">
      <alignment wrapText="1"/>
    </xf>
    <xf numFmtId="0" fontId="13" fillId="0" borderId="0" xfId="0" applyFont="1" applyAlignment="1">
      <alignment wrapText="1"/>
    </xf>
    <xf numFmtId="39" fontId="20" fillId="0" borderId="0" xfId="0" applyNumberFormat="1" applyFont="1"/>
    <xf numFmtId="43" fontId="20" fillId="0" borderId="0" xfId="1" applyFont="1"/>
    <xf numFmtId="39" fontId="14" fillId="0" borderId="0" xfId="0" applyNumberFormat="1" applyFont="1" applyFill="1"/>
    <xf numFmtId="0" fontId="16" fillId="0" borderId="0" xfId="0" applyFont="1" applyFill="1" applyAlignment="1"/>
    <xf numFmtId="39" fontId="13" fillId="0" borderId="0" xfId="0" applyNumberFormat="1" applyFont="1" applyFill="1"/>
    <xf numFmtId="0" fontId="13" fillId="0" borderId="0" xfId="0" applyFont="1" applyFill="1"/>
    <xf numFmtId="0" fontId="16" fillId="0" borderId="0" xfId="0" applyFont="1" applyFill="1"/>
    <xf numFmtId="43" fontId="13" fillId="0" borderId="0" xfId="1" applyFont="1" applyFill="1"/>
    <xf numFmtId="0" fontId="15" fillId="0" borderId="0" xfId="0" applyFont="1"/>
    <xf numFmtId="43" fontId="15" fillId="0" borderId="0" xfId="1" applyFont="1"/>
    <xf numFmtId="39" fontId="16" fillId="0" borderId="0" xfId="0" applyNumberFormat="1" applyFont="1" applyFill="1"/>
    <xf numFmtId="44" fontId="16" fillId="8" borderId="0" xfId="0" applyNumberFormat="1" applyFont="1" applyFill="1"/>
    <xf numFmtId="0" fontId="13" fillId="0" borderId="0" xfId="0" applyFont="1" applyBorder="1"/>
    <xf numFmtId="44" fontId="16" fillId="11" borderId="0" xfId="0" applyNumberFormat="1" applyFont="1" applyFill="1"/>
    <xf numFmtId="0" fontId="18" fillId="0" borderId="0" xfId="0" applyFont="1" applyFill="1" applyAlignment="1">
      <alignment vertical="top" wrapText="1"/>
    </xf>
    <xf numFmtId="0" fontId="13" fillId="0" borderId="0" xfId="0" applyFont="1" applyFill="1" applyAlignment="1">
      <alignment vertical="top" wrapText="1"/>
    </xf>
    <xf numFmtId="44" fontId="13" fillId="0" borderId="0" xfId="0" applyNumberFormat="1" applyFont="1"/>
    <xf numFmtId="0" fontId="13" fillId="12" borderId="0" xfId="0" applyFont="1" applyFill="1"/>
    <xf numFmtId="43" fontId="18" fillId="12" borderId="0" xfId="1" applyFont="1" applyFill="1"/>
    <xf numFmtId="43" fontId="13" fillId="12" borderId="0" xfId="0" applyNumberFormat="1" applyFont="1" applyFill="1"/>
    <xf numFmtId="39" fontId="15" fillId="12" borderId="0" xfId="2" applyNumberFormat="1" applyFont="1" applyFill="1" applyAlignment="1">
      <alignment horizontal="center"/>
    </xf>
    <xf numFmtId="43" fontId="18" fillId="12" borderId="0" xfId="0" applyNumberFormat="1" applyFont="1" applyFill="1" applyAlignment="1">
      <alignment horizontal="right"/>
    </xf>
    <xf numFmtId="41" fontId="18" fillId="12" borderId="0" xfId="0" applyNumberFormat="1" applyFont="1" applyFill="1" applyAlignment="1">
      <alignment horizontal="right"/>
    </xf>
    <xf numFmtId="43" fontId="16" fillId="12" borderId="0" xfId="1" applyFont="1" applyFill="1"/>
    <xf numFmtId="164" fontId="16" fillId="12" borderId="0" xfId="0" applyNumberFormat="1" applyFont="1" applyFill="1"/>
    <xf numFmtId="0" fontId="16" fillId="12" borderId="0" xfId="0" applyFont="1" applyFill="1"/>
    <xf numFmtId="164" fontId="13" fillId="12" borderId="0" xfId="1" applyNumberFormat="1" applyFont="1" applyFill="1"/>
    <xf numFmtId="43" fontId="15" fillId="12" borderId="0" xfId="1" applyFont="1" applyFill="1"/>
    <xf numFmtId="0" fontId="15" fillId="8" borderId="0" xfId="0" applyFont="1" applyFill="1" applyAlignment="1">
      <alignment horizontal="center" wrapText="1"/>
    </xf>
    <xf numFmtId="0" fontId="16" fillId="11" borderId="0" xfId="0" applyFont="1" applyFill="1" applyAlignment="1">
      <alignment horizontal="left"/>
    </xf>
    <xf numFmtId="0" fontId="13" fillId="0" borderId="0" xfId="0" applyFont="1" applyAlignment="1">
      <alignment horizontal="left"/>
    </xf>
    <xf numFmtId="0" fontId="18" fillId="9" borderId="0" xfId="0" applyFont="1" applyFill="1" applyAlignment="1">
      <alignment horizontal="left"/>
    </xf>
    <xf numFmtId="0" fontId="18" fillId="9" borderId="0" xfId="0" applyFont="1" applyFill="1" applyAlignment="1">
      <alignment horizontal="left" vertical="center" wrapText="1"/>
    </xf>
    <xf numFmtId="0" fontId="16" fillId="0" borderId="0" xfId="0" applyFont="1" applyAlignment="1">
      <alignment horizontal="left"/>
    </xf>
    <xf numFmtId="0" fontId="16" fillId="10" borderId="0" xfId="0" applyFont="1" applyFill="1" applyAlignment="1">
      <alignment horizontal="left"/>
    </xf>
    <xf numFmtId="0" fontId="16" fillId="0" borderId="0" xfId="0" applyFont="1" applyFill="1" applyAlignment="1">
      <alignment horizontal="left"/>
    </xf>
    <xf numFmtId="0" fontId="18" fillId="0" borderId="0" xfId="0" applyFont="1" applyFill="1" applyAlignment="1">
      <alignment horizontal="left"/>
    </xf>
    <xf numFmtId="0" fontId="13" fillId="0" borderId="0" xfId="0" applyFont="1" applyFill="1" applyAlignment="1">
      <alignment horizontal="left" vertical="top" wrapText="1"/>
    </xf>
    <xf numFmtId="0" fontId="21" fillId="12" borderId="0" xfId="0" applyFont="1" applyFill="1" applyAlignment="1">
      <alignment horizontal="center"/>
    </xf>
    <xf numFmtId="0" fontId="22" fillId="12" borderId="0" xfId="0" applyFont="1" applyFill="1"/>
    <xf numFmtId="0" fontId="22" fillId="0" borderId="0" xfId="0" applyFont="1"/>
    <xf numFmtId="0" fontId="22" fillId="0" borderId="0" xfId="0" applyFont="1" applyAlignment="1">
      <alignment horizontal="left"/>
    </xf>
    <xf numFmtId="0" fontId="21" fillId="0" borderId="0" xfId="0" applyFont="1" applyFill="1" applyAlignment="1">
      <alignment horizontal="center" wrapText="1"/>
    </xf>
    <xf numFmtId="0" fontId="21" fillId="8" borderId="0" xfId="0" applyFont="1" applyFill="1" applyAlignment="1">
      <alignment horizontal="center" wrapText="1"/>
    </xf>
    <xf numFmtId="49" fontId="21" fillId="0" borderId="0" xfId="0" applyNumberFormat="1" applyFont="1" applyFill="1" applyAlignment="1">
      <alignment horizontal="center" wrapText="1"/>
    </xf>
    <xf numFmtId="16" fontId="21" fillId="12" borderId="0" xfId="0" applyNumberFormat="1" applyFont="1" applyFill="1" applyAlignment="1">
      <alignment horizontal="center"/>
    </xf>
    <xf numFmtId="0" fontId="21" fillId="9" borderId="0" xfId="0" applyFont="1" applyFill="1" applyAlignment="1">
      <alignment horizontal="center"/>
    </xf>
    <xf numFmtId="0" fontId="21" fillId="9" borderId="0" xfId="0" applyFont="1" applyFill="1" applyAlignment="1">
      <alignment horizontal="left"/>
    </xf>
    <xf numFmtId="0" fontId="16" fillId="0" borderId="0" xfId="0" applyFont="1" applyFill="1" applyAlignment="1">
      <alignment horizontal="center"/>
    </xf>
    <xf numFmtId="0" fontId="21" fillId="8" borderId="0" xfId="0" applyFont="1" applyFill="1" applyAlignment="1">
      <alignment horizontal="center"/>
    </xf>
    <xf numFmtId="0" fontId="13" fillId="8" borderId="0" xfId="0" applyFont="1" applyFill="1"/>
    <xf numFmtId="0" fontId="21" fillId="8" borderId="0" xfId="0" applyFont="1" applyFill="1" applyAlignment="1">
      <alignment horizontal="center" vertical="center" wrapText="1"/>
    </xf>
    <xf numFmtId="0" fontId="0" fillId="0" borderId="0" xfId="0" applyAlignment="1">
      <alignment vertical="center"/>
    </xf>
    <xf numFmtId="0" fontId="25" fillId="0" borderId="0" xfId="0" applyFont="1" applyAlignment="1">
      <alignment vertical="center"/>
    </xf>
    <xf numFmtId="0" fontId="2" fillId="0" borderId="0" xfId="0" applyFont="1"/>
    <xf numFmtId="0" fontId="26" fillId="0" borderId="0" xfId="0" applyFont="1" applyAlignment="1">
      <alignment horizontal="center"/>
    </xf>
    <xf numFmtId="0" fontId="26" fillId="0" borderId="5" xfId="0" applyFont="1" applyBorder="1" applyAlignment="1">
      <alignment horizontal="center"/>
    </xf>
    <xf numFmtId="0" fontId="23" fillId="0" borderId="5" xfId="0" applyFont="1" applyBorder="1" applyAlignment="1">
      <alignment vertical="center" wrapText="1"/>
    </xf>
    <xf numFmtId="0" fontId="24" fillId="0" borderId="5" xfId="0" applyFont="1" applyBorder="1" applyAlignment="1">
      <alignment vertical="center" wrapText="1"/>
    </xf>
    <xf numFmtId="0" fontId="24" fillId="0" borderId="5" xfId="0" applyFont="1" applyBorder="1" applyAlignment="1">
      <alignment vertical="center"/>
    </xf>
    <xf numFmtId="0" fontId="0" fillId="0" borderId="5" xfId="0" applyBorder="1"/>
    <xf numFmtId="0" fontId="23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vertical="center" wrapText="1"/>
    </xf>
    <xf numFmtId="0" fontId="24" fillId="0" borderId="5" xfId="0" applyFont="1" applyBorder="1" applyAlignment="1">
      <alignment horizontal="left" vertical="center" wrapText="1"/>
    </xf>
    <xf numFmtId="8" fontId="24" fillId="0" borderId="5" xfId="0" applyNumberFormat="1" applyFont="1" applyBorder="1" applyAlignment="1">
      <alignment horizontal="left" vertical="center" wrapText="1"/>
    </xf>
    <xf numFmtId="0" fontId="0" fillId="0" borderId="5" xfId="0" applyBorder="1" applyAlignment="1">
      <alignment horizontal="left"/>
    </xf>
    <xf numFmtId="0" fontId="23" fillId="0" borderId="5" xfId="0" applyFont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14" fillId="0" borderId="6" xfId="0" applyFont="1" applyBorder="1"/>
    <xf numFmtId="0" fontId="13" fillId="0" borderId="6" xfId="0" applyFont="1" applyBorder="1"/>
    <xf numFmtId="39" fontId="21" fillId="13" borderId="0" xfId="0" applyNumberFormat="1" applyFont="1" applyFill="1" applyAlignment="1">
      <alignment horizontal="right" wrapText="1"/>
    </xf>
    <xf numFmtId="0" fontId="13" fillId="13" borderId="0" xfId="0" applyFont="1" applyFill="1"/>
    <xf numFmtId="39" fontId="21" fillId="13" borderId="0" xfId="0" applyNumberFormat="1" applyFont="1" applyFill="1" applyAlignment="1">
      <alignment horizontal="right"/>
    </xf>
    <xf numFmtId="39" fontId="22" fillId="13" borderId="0" xfId="0" applyNumberFormat="1" applyFont="1" applyFill="1" applyAlignment="1">
      <alignment horizontal="right"/>
    </xf>
    <xf numFmtId="39" fontId="22" fillId="13" borderId="6" xfId="0" applyNumberFormat="1" applyFont="1" applyFill="1" applyBorder="1" applyAlignment="1">
      <alignment horizontal="right" vertical="center" wrapText="1"/>
    </xf>
    <xf numFmtId="39" fontId="21" fillId="13" borderId="0" xfId="2" applyNumberFormat="1" applyFont="1" applyFill="1" applyAlignment="1">
      <alignment horizontal="right"/>
    </xf>
    <xf numFmtId="0" fontId="23" fillId="0" borderId="7" xfId="0" applyFont="1" applyBorder="1" applyAlignment="1">
      <alignment vertical="center" wrapText="1"/>
    </xf>
    <xf numFmtId="0" fontId="24" fillId="0" borderId="7" xfId="0" applyFont="1" applyBorder="1" applyAlignment="1">
      <alignment vertical="center"/>
    </xf>
    <xf numFmtId="0" fontId="23" fillId="0" borderId="7" xfId="0" applyFont="1" applyBorder="1" applyAlignment="1">
      <alignment horizontal="center" vertical="center" wrapText="1"/>
    </xf>
    <xf numFmtId="0" fontId="23" fillId="0" borderId="9" xfId="0" applyFont="1" applyBorder="1" applyAlignment="1">
      <alignment vertical="center" wrapText="1"/>
    </xf>
    <xf numFmtId="0" fontId="0" fillId="0" borderId="0" xfId="0" applyBorder="1" applyAlignment="1">
      <alignment horizontal="center" vertical="center"/>
    </xf>
    <xf numFmtId="0" fontId="26" fillId="0" borderId="5" xfId="0" applyFont="1" applyBorder="1" applyAlignment="1">
      <alignment horizontal="left"/>
    </xf>
    <xf numFmtId="0" fontId="24" fillId="0" borderId="8" xfId="0" applyFont="1" applyBorder="1" applyAlignment="1">
      <alignment horizontal="left" vertical="center" wrapText="1"/>
    </xf>
    <xf numFmtId="0" fontId="0" fillId="0" borderId="8" xfId="0" applyBorder="1" applyAlignment="1">
      <alignment horizontal="left"/>
    </xf>
    <xf numFmtId="0" fontId="23" fillId="0" borderId="8" xfId="0" applyFont="1" applyBorder="1" applyAlignment="1">
      <alignment horizontal="left" vertical="center" wrapText="1"/>
    </xf>
    <xf numFmtId="8" fontId="24" fillId="0" borderId="8" xfId="0" applyNumberFormat="1" applyFont="1" applyBorder="1" applyAlignment="1">
      <alignment horizontal="left" vertical="center" wrapText="1"/>
    </xf>
    <xf numFmtId="0" fontId="24" fillId="0" borderId="10" xfId="0" applyFont="1" applyBorder="1" applyAlignment="1">
      <alignment horizontal="left" vertical="center" wrapText="1"/>
    </xf>
    <xf numFmtId="0" fontId="2" fillId="0" borderId="6" xfId="0" applyFont="1" applyBorder="1"/>
    <xf numFmtId="0" fontId="28" fillId="0" borderId="5" xfId="3" applyBorder="1"/>
    <xf numFmtId="0" fontId="27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4" fillId="12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vertical="top" wrapText="1"/>
    </xf>
  </cellXfs>
  <cellStyles count="4">
    <cellStyle name="Comma" xfId="1" builtinId="3"/>
    <cellStyle name="Currency_FY07 Rate Doc ARC 270311" xfId="2"/>
    <cellStyle name="Hyperlink" xfId="3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theme" Target="theme/theme1.xml"/><Relationship Id="rId9" Type="http://schemas.openxmlformats.org/officeDocument/2006/relationships/styles" Target="styles.xml"/><Relationship Id="rId10" Type="http://schemas.openxmlformats.org/officeDocument/2006/relationships/sharedStrings" Target="sharedStrings.xml"/><Relationship Id="rId11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tabSelected="1" workbookViewId="0">
      <selection activeCell="A8" sqref="A8"/>
    </sheetView>
  </sheetViews>
  <sheetFormatPr baseColWidth="10" defaultColWidth="8.83203125" defaultRowHeight="15" x14ac:dyDescent="0.2"/>
  <cols>
    <col min="1" max="1" width="27.83203125" bestFit="1" customWidth="1"/>
    <col min="2" max="2" width="43.33203125" bestFit="1" customWidth="1"/>
  </cols>
  <sheetData>
    <row r="1" spans="1:3" ht="19" x14ac:dyDescent="0.2">
      <c r="A1" s="150" t="s">
        <v>202</v>
      </c>
      <c r="B1" s="151"/>
      <c r="C1" s="141"/>
    </row>
    <row r="2" spans="1:3" x14ac:dyDescent="0.2">
      <c r="A2" s="121"/>
      <c r="B2" s="121"/>
    </row>
    <row r="3" spans="1:3" x14ac:dyDescent="0.2">
      <c r="A3" s="149" t="s">
        <v>218</v>
      </c>
      <c r="B3" s="121"/>
    </row>
    <row r="4" spans="1:3" x14ac:dyDescent="0.2">
      <c r="A4" s="149" t="s">
        <v>203</v>
      </c>
      <c r="B4" s="121" t="s">
        <v>206</v>
      </c>
    </row>
    <row r="5" spans="1:3" x14ac:dyDescent="0.2">
      <c r="A5" s="149" t="s">
        <v>204</v>
      </c>
      <c r="B5" s="121" t="s">
        <v>207</v>
      </c>
    </row>
    <row r="6" spans="1:3" x14ac:dyDescent="0.2">
      <c r="A6" s="149" t="s">
        <v>205</v>
      </c>
      <c r="B6" s="121" t="s">
        <v>208</v>
      </c>
    </row>
    <row r="7" spans="1:3" x14ac:dyDescent="0.2">
      <c r="A7" s="149" t="s">
        <v>209</v>
      </c>
      <c r="B7" s="121" t="s">
        <v>210</v>
      </c>
    </row>
    <row r="8" spans="1:3" x14ac:dyDescent="0.2">
      <c r="A8" s="149" t="s">
        <v>211</v>
      </c>
      <c r="B8" s="121" t="s">
        <v>210</v>
      </c>
    </row>
  </sheetData>
  <mergeCells count="1">
    <mergeCell ref="A1:B1"/>
  </mergeCells>
  <hyperlinks>
    <hyperlink ref="A3" location="'Fee Schedule Requirements'!A1" display="Fee Schedule Requirements"/>
    <hyperlink ref="A4" location="'Ex 1 Fee Schedule 1  - Calc'!A1" display="Ex 1 Fee Schedule 1  - Calc"/>
    <hyperlink ref="A5" location="'Ex 2 Fee Schedule 1 - Publish'!A1" display="Ex 2 Fee Schedule 1 - Publish"/>
    <hyperlink ref="A6" location="'Ex 3 Revenue Projection'!A1" display="Ex 3  Revenue Projection "/>
    <hyperlink ref="A7" location="'Ex 4 Flow Fee Sch '!A1" display="Ex 4 Flow Fee Sch"/>
    <hyperlink ref="A8" location="'Ex 5 Genomics Fee Sch'!A1" display="Ex 5 Genomics Fee Sch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83203125" defaultRowHeight="15" x14ac:dyDescent="0.2"/>
  <cols>
    <col min="1" max="1" width="79.83203125" bestFit="1" customWidth="1"/>
  </cols>
  <sheetData>
    <row r="1" spans="1:1" x14ac:dyDescent="0.2">
      <c r="A1" s="148" t="s">
        <v>218</v>
      </c>
    </row>
    <row r="2" spans="1:1" x14ac:dyDescent="0.2">
      <c r="A2" t="s">
        <v>212</v>
      </c>
    </row>
    <row r="3" spans="1:1" x14ac:dyDescent="0.2">
      <c r="A3" t="s">
        <v>213</v>
      </c>
    </row>
    <row r="4" spans="1:1" x14ac:dyDescent="0.2">
      <c r="A4" t="s">
        <v>214</v>
      </c>
    </row>
    <row r="5" spans="1:1" x14ac:dyDescent="0.2">
      <c r="A5" t="s">
        <v>215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7"/>
  <sheetViews>
    <sheetView workbookViewId="0">
      <selection activeCell="A7" sqref="A7"/>
    </sheetView>
  </sheetViews>
  <sheetFormatPr baseColWidth="10" defaultColWidth="9.1640625" defaultRowHeight="12" x14ac:dyDescent="0.15"/>
  <cols>
    <col min="1" max="1" width="31.5" style="45" bestFit="1" customWidth="1"/>
    <col min="2" max="3" width="14.1640625" style="45" hidden="1" customWidth="1"/>
    <col min="4" max="6" width="13.6640625" style="45" hidden="1" customWidth="1"/>
    <col min="7" max="7" width="13.5" style="45" hidden="1" customWidth="1"/>
    <col min="8" max="8" width="7.83203125" style="45" hidden="1" customWidth="1"/>
    <col min="9" max="9" width="8" style="45" hidden="1" customWidth="1"/>
    <col min="10" max="10" width="14.1640625" style="45" bestFit="1" customWidth="1"/>
    <col min="11" max="12" width="11.5" style="45" bestFit="1" customWidth="1"/>
    <col min="13" max="13" width="13.1640625" style="45" bestFit="1" customWidth="1"/>
    <col min="14" max="14" width="11.5" style="45" bestFit="1" customWidth="1"/>
    <col min="15" max="15" width="13.5" style="45" customWidth="1"/>
    <col min="16" max="16" width="32.6640625" style="91" customWidth="1"/>
    <col min="17" max="17" width="17.5" style="45" customWidth="1"/>
    <col min="18" max="18" width="11.5" style="45" customWidth="1"/>
    <col min="19" max="19" width="17.1640625" style="45" bestFit="1" customWidth="1"/>
    <col min="20" max="16384" width="9.1640625" style="45"/>
  </cols>
  <sheetData>
    <row r="1" spans="1:19" ht="19" x14ac:dyDescent="0.25">
      <c r="A1" s="44" t="s">
        <v>15</v>
      </c>
      <c r="Q1" s="46"/>
    </row>
    <row r="2" spans="1:19" ht="15.75" customHeight="1" x14ac:dyDescent="0.25">
      <c r="A2" s="44" t="s">
        <v>17</v>
      </c>
      <c r="J2" s="152" t="s">
        <v>82</v>
      </c>
      <c r="K2" s="153"/>
      <c r="L2" s="153"/>
      <c r="M2" s="153"/>
      <c r="N2" s="153"/>
      <c r="Q2" s="109"/>
      <c r="R2" s="89"/>
      <c r="S2" s="47"/>
    </row>
    <row r="3" spans="1:19" ht="15.75" customHeight="1" x14ac:dyDescent="0.25">
      <c r="A3" s="44"/>
      <c r="J3" s="99" t="s">
        <v>18</v>
      </c>
      <c r="K3" s="100"/>
      <c r="L3" s="100"/>
      <c r="M3" s="100"/>
      <c r="N3" s="100"/>
      <c r="O3" s="101"/>
      <c r="P3" s="102"/>
      <c r="Q3" s="103"/>
      <c r="R3" s="104"/>
      <c r="S3" s="105"/>
    </row>
    <row r="4" spans="1:19" x14ac:dyDescent="0.15">
      <c r="A4" s="48"/>
      <c r="J4" s="106" t="s">
        <v>19</v>
      </c>
      <c r="K4" s="100"/>
      <c r="L4" s="100"/>
      <c r="M4" s="100"/>
      <c r="N4" s="100"/>
      <c r="O4" s="101"/>
      <c r="P4" s="102"/>
      <c r="Q4" s="103"/>
      <c r="R4" s="104"/>
      <c r="S4" s="105"/>
    </row>
    <row r="5" spans="1:19" ht="24" x14ac:dyDescent="0.15">
      <c r="J5" s="99" t="s">
        <v>20</v>
      </c>
      <c r="K5" s="99" t="s">
        <v>21</v>
      </c>
      <c r="L5" s="99" t="s">
        <v>22</v>
      </c>
      <c r="M5" s="99" t="s">
        <v>23</v>
      </c>
      <c r="N5" s="99" t="s">
        <v>23</v>
      </c>
      <c r="O5" s="107" t="s">
        <v>24</v>
      </c>
      <c r="P5" s="107" t="s">
        <v>5</v>
      </c>
      <c r="Q5" s="107" t="s">
        <v>85</v>
      </c>
      <c r="R5" s="112" t="s">
        <v>16</v>
      </c>
      <c r="S5" s="107" t="s">
        <v>83</v>
      </c>
    </row>
    <row r="6" spans="1:19" x14ac:dyDescent="0.15">
      <c r="B6" s="49" t="s">
        <v>25</v>
      </c>
      <c r="C6" s="49" t="s">
        <v>26</v>
      </c>
      <c r="D6" s="49" t="s">
        <v>27</v>
      </c>
      <c r="E6" s="49" t="s">
        <v>28</v>
      </c>
      <c r="F6" s="49" t="s">
        <v>29</v>
      </c>
      <c r="G6" s="49" t="s">
        <v>30</v>
      </c>
      <c r="H6" s="49" t="s">
        <v>31</v>
      </c>
      <c r="I6" s="49" t="s">
        <v>32</v>
      </c>
      <c r="J6" s="99" t="s">
        <v>33</v>
      </c>
      <c r="K6" s="99" t="s">
        <v>34</v>
      </c>
      <c r="L6" s="99" t="s">
        <v>35</v>
      </c>
      <c r="M6" s="99" t="s">
        <v>36</v>
      </c>
      <c r="N6" s="99" t="s">
        <v>37</v>
      </c>
      <c r="O6" s="107" t="s">
        <v>37</v>
      </c>
      <c r="P6" s="108"/>
      <c r="Q6" s="107" t="s">
        <v>86</v>
      </c>
      <c r="R6" s="110"/>
      <c r="S6" s="107" t="s">
        <v>84</v>
      </c>
    </row>
    <row r="7" spans="1:19" ht="13.5" customHeight="1" x14ac:dyDescent="0.15">
      <c r="J7" s="78"/>
      <c r="K7" s="78"/>
      <c r="L7" s="78"/>
      <c r="M7" s="78"/>
      <c r="N7" s="78"/>
      <c r="R7" s="111"/>
    </row>
    <row r="8" spans="1:19" ht="12.75" customHeight="1" x14ac:dyDescent="0.15">
      <c r="A8" s="50" t="s">
        <v>38</v>
      </c>
      <c r="B8" s="51">
        <v>165</v>
      </c>
      <c r="C8" s="51">
        <v>245</v>
      </c>
      <c r="D8" s="51">
        <v>20</v>
      </c>
      <c r="E8" s="51">
        <v>0</v>
      </c>
      <c r="F8" s="51">
        <v>0</v>
      </c>
      <c r="G8" s="51">
        <v>0</v>
      </c>
      <c r="H8" s="51"/>
      <c r="I8" s="51"/>
      <c r="J8" s="79">
        <f>SUM(B8:I8)</f>
        <v>430</v>
      </c>
      <c r="K8" s="80">
        <f>SUM(B8:I8)/5</f>
        <v>86</v>
      </c>
      <c r="L8" s="81">
        <v>2.5</v>
      </c>
      <c r="M8" s="82">
        <v>430</v>
      </c>
      <c r="N8" s="83">
        <f>M8/L8</f>
        <v>172</v>
      </c>
      <c r="O8" s="52">
        <v>200</v>
      </c>
      <c r="P8" s="92" t="s">
        <v>39</v>
      </c>
      <c r="Q8" s="53">
        <v>0</v>
      </c>
      <c r="R8" s="54">
        <v>2.5</v>
      </c>
      <c r="S8" s="53">
        <f t="shared" ref="S8:S31" si="0">O8*R8</f>
        <v>500</v>
      </c>
    </row>
    <row r="9" spans="1:19" ht="12.75" customHeight="1" x14ac:dyDescent="0.15">
      <c r="A9" s="50" t="s">
        <v>40</v>
      </c>
      <c r="B9" s="51">
        <v>0</v>
      </c>
      <c r="C9" s="51">
        <v>0</v>
      </c>
      <c r="D9" s="51">
        <v>0</v>
      </c>
      <c r="E9" s="51">
        <v>0</v>
      </c>
      <c r="F9" s="51">
        <v>0</v>
      </c>
      <c r="G9" s="51">
        <v>0</v>
      </c>
      <c r="H9" s="51"/>
      <c r="I9" s="51"/>
      <c r="J9" s="79">
        <f>SUM(B9:I9)</f>
        <v>0</v>
      </c>
      <c r="K9" s="80">
        <f t="shared" ref="K9:K12" si="1">SUM(B9:I9)/5</f>
        <v>0</v>
      </c>
      <c r="L9" s="81">
        <v>21.81</v>
      </c>
      <c r="M9" s="82">
        <v>0</v>
      </c>
      <c r="N9" s="83">
        <f t="shared" ref="N9:N31" si="2">M9/L9</f>
        <v>0</v>
      </c>
      <c r="O9" s="52">
        <v>0</v>
      </c>
      <c r="P9" s="92"/>
      <c r="Q9" s="53">
        <v>0</v>
      </c>
      <c r="R9" s="54">
        <v>21.81</v>
      </c>
      <c r="S9" s="53">
        <f t="shared" si="0"/>
        <v>0</v>
      </c>
    </row>
    <row r="10" spans="1:19" ht="12.75" customHeight="1" x14ac:dyDescent="0.15">
      <c r="A10" s="55" t="s">
        <v>41</v>
      </c>
      <c r="B10" s="51">
        <v>0</v>
      </c>
      <c r="C10" s="51">
        <v>0</v>
      </c>
      <c r="D10" s="51">
        <v>0</v>
      </c>
      <c r="E10" s="51">
        <v>0</v>
      </c>
      <c r="F10" s="51">
        <v>0</v>
      </c>
      <c r="G10" s="51">
        <v>0</v>
      </c>
      <c r="H10" s="51"/>
      <c r="I10" s="51"/>
      <c r="J10" s="79">
        <f t="shared" ref="J10:J48" si="3">SUM(B10:I10)</f>
        <v>0</v>
      </c>
      <c r="K10" s="80">
        <f t="shared" si="1"/>
        <v>0</v>
      </c>
      <c r="L10" s="81">
        <v>2.97</v>
      </c>
      <c r="M10" s="82">
        <v>0</v>
      </c>
      <c r="N10" s="83">
        <f t="shared" si="2"/>
        <v>0</v>
      </c>
      <c r="O10" s="52">
        <v>0</v>
      </c>
      <c r="P10" s="92"/>
      <c r="Q10" s="53">
        <v>0</v>
      </c>
      <c r="R10" s="54">
        <v>2.97</v>
      </c>
      <c r="S10" s="53">
        <f t="shared" si="0"/>
        <v>0</v>
      </c>
    </row>
    <row r="11" spans="1:19" ht="12.75" customHeight="1" x14ac:dyDescent="0.15">
      <c r="A11" s="55" t="s">
        <v>42</v>
      </c>
      <c r="B11" s="51">
        <v>0</v>
      </c>
      <c r="C11" s="51">
        <v>0</v>
      </c>
      <c r="D11" s="51">
        <v>0</v>
      </c>
      <c r="E11" s="51">
        <v>0</v>
      </c>
      <c r="F11" s="51">
        <v>0</v>
      </c>
      <c r="G11" s="51">
        <v>0</v>
      </c>
      <c r="H11" s="51"/>
      <c r="I11" s="51"/>
      <c r="J11" s="79">
        <f t="shared" si="3"/>
        <v>0</v>
      </c>
      <c r="K11" s="80">
        <f t="shared" si="1"/>
        <v>0</v>
      </c>
      <c r="L11" s="81">
        <v>3.71</v>
      </c>
      <c r="M11" s="82">
        <v>0</v>
      </c>
      <c r="N11" s="83">
        <f t="shared" si="2"/>
        <v>0</v>
      </c>
      <c r="O11" s="52">
        <v>0</v>
      </c>
      <c r="P11" s="92"/>
      <c r="Q11" s="53">
        <v>0</v>
      </c>
      <c r="R11" s="54">
        <v>3.71</v>
      </c>
      <c r="S11" s="53">
        <f t="shared" si="0"/>
        <v>0</v>
      </c>
    </row>
    <row r="12" spans="1:19" ht="12.75" customHeight="1" x14ac:dyDescent="0.15">
      <c r="A12" s="55" t="s">
        <v>43</v>
      </c>
      <c r="B12" s="51">
        <v>0</v>
      </c>
      <c r="C12" s="51">
        <v>0</v>
      </c>
      <c r="D12" s="51">
        <v>0</v>
      </c>
      <c r="E12" s="51">
        <v>0</v>
      </c>
      <c r="F12" s="51">
        <v>0</v>
      </c>
      <c r="G12" s="51">
        <v>0</v>
      </c>
      <c r="H12" s="51"/>
      <c r="I12" s="51"/>
      <c r="J12" s="79">
        <f t="shared" si="3"/>
        <v>0</v>
      </c>
      <c r="K12" s="80">
        <f t="shared" si="1"/>
        <v>0</v>
      </c>
      <c r="L12" s="81">
        <v>5.26</v>
      </c>
      <c r="M12" s="82">
        <v>0</v>
      </c>
      <c r="N12" s="83">
        <f t="shared" si="2"/>
        <v>0</v>
      </c>
      <c r="O12" s="52">
        <v>0</v>
      </c>
      <c r="P12" s="92"/>
      <c r="Q12" s="53">
        <v>0</v>
      </c>
      <c r="R12" s="54">
        <v>5.26</v>
      </c>
      <c r="S12" s="53">
        <f t="shared" si="0"/>
        <v>0</v>
      </c>
    </row>
    <row r="13" spans="1:19" ht="12.75" customHeight="1" x14ac:dyDescent="0.15">
      <c r="A13" s="55" t="s">
        <v>44</v>
      </c>
      <c r="B13" s="51">
        <v>780.78</v>
      </c>
      <c r="C13" s="51">
        <v>572.91</v>
      </c>
      <c r="D13" s="51">
        <v>425.88</v>
      </c>
      <c r="E13" s="51">
        <v>233.22</v>
      </c>
      <c r="F13" s="51">
        <v>334.62</v>
      </c>
      <c r="G13" s="51">
        <v>993.72</v>
      </c>
      <c r="H13" s="51"/>
      <c r="I13" s="51"/>
      <c r="J13" s="79">
        <f t="shared" si="3"/>
        <v>3341.13</v>
      </c>
      <c r="K13" s="80">
        <f>SUM(B13:I13)/6</f>
        <v>556.85500000000002</v>
      </c>
      <c r="L13" s="81">
        <v>5.07</v>
      </c>
      <c r="M13" s="82">
        <v>7000</v>
      </c>
      <c r="N13" s="83">
        <f t="shared" si="2"/>
        <v>1380.6706114398421</v>
      </c>
      <c r="O13" s="56">
        <v>1500</v>
      </c>
      <c r="P13" s="92"/>
      <c r="Q13" s="53">
        <f>O13*L13</f>
        <v>7605</v>
      </c>
      <c r="R13" s="54">
        <v>5.58</v>
      </c>
      <c r="S13" s="53">
        <f t="shared" si="0"/>
        <v>8370</v>
      </c>
    </row>
    <row r="14" spans="1:19" ht="12.75" customHeight="1" x14ac:dyDescent="0.15">
      <c r="A14" s="55" t="s">
        <v>45</v>
      </c>
      <c r="B14" s="51">
        <v>0</v>
      </c>
      <c r="C14" s="51">
        <v>0</v>
      </c>
      <c r="D14" s="51">
        <v>0</v>
      </c>
      <c r="E14" s="51">
        <v>0</v>
      </c>
      <c r="F14" s="51">
        <v>0</v>
      </c>
      <c r="G14" s="51">
        <v>0</v>
      </c>
      <c r="H14" s="51"/>
      <c r="I14" s="51"/>
      <c r="J14" s="79">
        <f t="shared" si="3"/>
        <v>0</v>
      </c>
      <c r="K14" s="80">
        <f t="shared" ref="K14:K50" si="4">SUM(B14:I14)/6</f>
        <v>0</v>
      </c>
      <c r="L14" s="81">
        <v>1.75</v>
      </c>
      <c r="M14" s="82">
        <v>0</v>
      </c>
      <c r="N14" s="83">
        <f t="shared" si="2"/>
        <v>0</v>
      </c>
      <c r="O14" s="57">
        <v>0</v>
      </c>
      <c r="P14" s="92"/>
      <c r="Q14" s="53">
        <f t="shared" ref="Q14:Q31" si="5">O14*L14</f>
        <v>0</v>
      </c>
      <c r="R14" s="54">
        <v>1.75</v>
      </c>
      <c r="S14" s="53">
        <f t="shared" si="0"/>
        <v>0</v>
      </c>
    </row>
    <row r="15" spans="1:19" ht="12.75" customHeight="1" x14ac:dyDescent="0.15">
      <c r="A15" s="55" t="s">
        <v>46</v>
      </c>
      <c r="B15" s="51">
        <v>0</v>
      </c>
      <c r="C15" s="51">
        <v>0</v>
      </c>
      <c r="D15" s="51">
        <v>0</v>
      </c>
      <c r="E15" s="51">
        <v>0</v>
      </c>
      <c r="F15" s="51">
        <v>0</v>
      </c>
      <c r="G15" s="51">
        <v>0</v>
      </c>
      <c r="H15" s="51"/>
      <c r="I15" s="51"/>
      <c r="J15" s="79">
        <f t="shared" si="3"/>
        <v>0</v>
      </c>
      <c r="K15" s="80">
        <f t="shared" si="4"/>
        <v>0</v>
      </c>
      <c r="L15" s="81">
        <v>2.25</v>
      </c>
      <c r="M15" s="82">
        <v>0</v>
      </c>
      <c r="N15" s="83">
        <f t="shared" si="2"/>
        <v>0</v>
      </c>
      <c r="O15" s="57">
        <v>0</v>
      </c>
      <c r="P15" s="92"/>
      <c r="Q15" s="53">
        <f t="shared" si="5"/>
        <v>0</v>
      </c>
      <c r="R15" s="54">
        <v>2.25</v>
      </c>
      <c r="S15" s="53">
        <f t="shared" si="0"/>
        <v>0</v>
      </c>
    </row>
    <row r="16" spans="1:19" ht="12.75" customHeight="1" x14ac:dyDescent="0.15">
      <c r="A16" s="55" t="s">
        <v>47</v>
      </c>
      <c r="B16" s="51">
        <v>0</v>
      </c>
      <c r="C16" s="51">
        <v>0</v>
      </c>
      <c r="D16" s="51">
        <v>0</v>
      </c>
      <c r="E16" s="51">
        <v>0</v>
      </c>
      <c r="F16" s="51">
        <v>0</v>
      </c>
      <c r="G16" s="51">
        <v>0</v>
      </c>
      <c r="H16" s="51"/>
      <c r="I16" s="51"/>
      <c r="J16" s="79">
        <f>SUM(B16:I16)</f>
        <v>0</v>
      </c>
      <c r="K16" s="80">
        <f t="shared" si="4"/>
        <v>0</v>
      </c>
      <c r="L16" s="81">
        <v>2.75</v>
      </c>
      <c r="M16" s="82">
        <v>0</v>
      </c>
      <c r="N16" s="83">
        <f t="shared" si="2"/>
        <v>0</v>
      </c>
      <c r="O16" s="56">
        <v>1200</v>
      </c>
      <c r="P16" s="92"/>
      <c r="Q16" s="53">
        <f t="shared" si="5"/>
        <v>3300</v>
      </c>
      <c r="R16" s="54">
        <v>2.75</v>
      </c>
      <c r="S16" s="53">
        <f t="shared" si="0"/>
        <v>3300</v>
      </c>
    </row>
    <row r="17" spans="1:19" ht="12.75" customHeight="1" x14ac:dyDescent="0.15">
      <c r="A17" s="55" t="s">
        <v>48</v>
      </c>
      <c r="B17" s="51">
        <v>0</v>
      </c>
      <c r="C17" s="51">
        <v>0</v>
      </c>
      <c r="D17" s="51">
        <v>0</v>
      </c>
      <c r="E17" s="51">
        <v>0</v>
      </c>
      <c r="F17" s="51">
        <v>0</v>
      </c>
      <c r="G17" s="51">
        <v>0</v>
      </c>
      <c r="H17" s="51"/>
      <c r="I17" s="51"/>
      <c r="J17" s="79">
        <f t="shared" si="3"/>
        <v>0</v>
      </c>
      <c r="K17" s="80">
        <f t="shared" si="4"/>
        <v>0</v>
      </c>
      <c r="L17" s="81">
        <v>2.0699999999999998</v>
      </c>
      <c r="M17" s="82">
        <v>0</v>
      </c>
      <c r="N17" s="83">
        <f t="shared" si="2"/>
        <v>0</v>
      </c>
      <c r="O17" s="57">
        <v>0</v>
      </c>
      <c r="P17" s="92"/>
      <c r="Q17" s="53">
        <f t="shared" si="5"/>
        <v>0</v>
      </c>
      <c r="R17" s="54">
        <v>2.0699999999999998</v>
      </c>
      <c r="S17" s="53">
        <f t="shared" si="0"/>
        <v>0</v>
      </c>
    </row>
    <row r="18" spans="1:19" x14ac:dyDescent="0.15">
      <c r="A18" s="55" t="s">
        <v>49</v>
      </c>
      <c r="B18" s="51">
        <v>0</v>
      </c>
      <c r="C18" s="51">
        <v>0</v>
      </c>
      <c r="D18" s="51">
        <v>0</v>
      </c>
      <c r="E18" s="51">
        <v>0</v>
      </c>
      <c r="F18" s="51">
        <v>0</v>
      </c>
      <c r="G18" s="51">
        <v>0</v>
      </c>
      <c r="H18" s="51"/>
      <c r="I18" s="51"/>
      <c r="J18" s="79">
        <f t="shared" si="3"/>
        <v>0</v>
      </c>
      <c r="K18" s="80">
        <f t="shared" si="4"/>
        <v>0</v>
      </c>
      <c r="L18" s="81">
        <v>0.7</v>
      </c>
      <c r="M18" s="82">
        <v>0</v>
      </c>
      <c r="N18" s="83">
        <f t="shared" si="2"/>
        <v>0</v>
      </c>
      <c r="O18" s="56">
        <v>3000</v>
      </c>
      <c r="P18" s="93"/>
      <c r="Q18" s="53">
        <f t="shared" si="5"/>
        <v>2100</v>
      </c>
      <c r="R18" s="54">
        <v>0.7</v>
      </c>
      <c r="S18" s="53">
        <f t="shared" si="0"/>
        <v>2100</v>
      </c>
    </row>
    <row r="19" spans="1:19" x14ac:dyDescent="0.15">
      <c r="A19" s="55" t="s">
        <v>50</v>
      </c>
      <c r="B19" s="51">
        <v>0</v>
      </c>
      <c r="C19" s="51">
        <v>0</v>
      </c>
      <c r="D19" s="51">
        <v>0</v>
      </c>
      <c r="E19" s="51">
        <v>0</v>
      </c>
      <c r="F19" s="51">
        <v>0</v>
      </c>
      <c r="G19" s="51">
        <v>0</v>
      </c>
      <c r="H19" s="51"/>
      <c r="I19" s="51"/>
      <c r="J19" s="79">
        <f t="shared" si="3"/>
        <v>0</v>
      </c>
      <c r="K19" s="80">
        <f t="shared" si="4"/>
        <v>0</v>
      </c>
      <c r="L19" s="81">
        <v>0.88</v>
      </c>
      <c r="M19" s="82">
        <v>0</v>
      </c>
      <c r="N19" s="83">
        <f t="shared" si="2"/>
        <v>0</v>
      </c>
      <c r="O19" s="57">
        <v>0</v>
      </c>
      <c r="P19" s="92"/>
      <c r="Q19" s="53">
        <f t="shared" si="5"/>
        <v>0</v>
      </c>
      <c r="R19" s="54">
        <v>0.88</v>
      </c>
      <c r="S19" s="53">
        <f t="shared" si="0"/>
        <v>0</v>
      </c>
    </row>
    <row r="20" spans="1:19" s="60" customFormat="1" x14ac:dyDescent="0.15">
      <c r="A20" s="58" t="s">
        <v>51</v>
      </c>
      <c r="B20" s="59">
        <v>113374.84</v>
      </c>
      <c r="C20" s="59">
        <v>116429.58</v>
      </c>
      <c r="D20" s="59">
        <v>107640.78</v>
      </c>
      <c r="E20" s="59">
        <v>108826.18</v>
      </c>
      <c r="F20" s="59">
        <v>89573.64</v>
      </c>
      <c r="G20" s="59">
        <v>90150.36</v>
      </c>
      <c r="H20" s="59"/>
      <c r="I20" s="59"/>
      <c r="J20" s="79">
        <f t="shared" si="3"/>
        <v>625995.37999999989</v>
      </c>
      <c r="K20" s="80">
        <f t="shared" si="4"/>
        <v>104332.56333333331</v>
      </c>
      <c r="L20" s="81">
        <v>0.86</v>
      </c>
      <c r="M20" s="82">
        <f>J20+615000</f>
        <v>1240995.3799999999</v>
      </c>
      <c r="N20" s="83">
        <f t="shared" si="2"/>
        <v>1443017.8837209302</v>
      </c>
      <c r="O20" s="56">
        <v>1400000</v>
      </c>
      <c r="P20" s="93" t="s">
        <v>52</v>
      </c>
      <c r="Q20" s="53">
        <f t="shared" si="5"/>
        <v>1204000</v>
      </c>
      <c r="R20" s="54">
        <v>0.92</v>
      </c>
      <c r="S20" s="53">
        <f t="shared" si="0"/>
        <v>1288000</v>
      </c>
    </row>
    <row r="21" spans="1:19" x14ac:dyDescent="0.15">
      <c r="A21" s="55" t="s">
        <v>53</v>
      </c>
      <c r="B21" s="51">
        <v>14.2</v>
      </c>
      <c r="C21" s="51">
        <v>17.04</v>
      </c>
      <c r="D21" s="51">
        <v>1.42</v>
      </c>
      <c r="E21" s="51">
        <v>31.24</v>
      </c>
      <c r="F21" s="51">
        <v>0</v>
      </c>
      <c r="G21" s="51">
        <v>0</v>
      </c>
      <c r="H21" s="51"/>
      <c r="I21" s="51"/>
      <c r="J21" s="79">
        <f t="shared" si="3"/>
        <v>63.899999999999991</v>
      </c>
      <c r="K21" s="80">
        <f t="shared" si="4"/>
        <v>10.649999999999999</v>
      </c>
      <c r="L21" s="81">
        <v>1.42</v>
      </c>
      <c r="M21" s="82">
        <v>100</v>
      </c>
      <c r="N21" s="83">
        <f t="shared" si="2"/>
        <v>70.422535211267615</v>
      </c>
      <c r="O21" s="57">
        <v>100</v>
      </c>
      <c r="P21" s="93"/>
      <c r="Q21" s="53">
        <f t="shared" si="5"/>
        <v>142</v>
      </c>
      <c r="R21" s="54">
        <v>1.48</v>
      </c>
      <c r="S21" s="53">
        <f t="shared" si="0"/>
        <v>148</v>
      </c>
    </row>
    <row r="22" spans="1:19" x14ac:dyDescent="0.15">
      <c r="A22" s="55" t="s">
        <v>54</v>
      </c>
      <c r="B22" s="51">
        <v>12176.76</v>
      </c>
      <c r="C22" s="51">
        <v>10550.88</v>
      </c>
      <c r="D22" s="51">
        <v>9711.42</v>
      </c>
      <c r="E22" s="51">
        <v>15267.36</v>
      </c>
      <c r="F22" s="51">
        <f>35647.98+132.6</f>
        <v>35780.58</v>
      </c>
      <c r="G22" s="51">
        <v>32609.4</v>
      </c>
      <c r="H22" s="51"/>
      <c r="I22" s="51"/>
      <c r="J22" s="79">
        <f t="shared" si="3"/>
        <v>116096.4</v>
      </c>
      <c r="K22" s="80">
        <f t="shared" si="4"/>
        <v>19349.399999999998</v>
      </c>
      <c r="L22" s="81">
        <v>1.02</v>
      </c>
      <c r="M22" s="82">
        <f>J22+87000</f>
        <v>203096.4</v>
      </c>
      <c r="N22" s="83">
        <f t="shared" si="2"/>
        <v>199114.11764705883</v>
      </c>
      <c r="O22" s="56">
        <v>120000</v>
      </c>
      <c r="P22" s="93" t="s">
        <v>55</v>
      </c>
      <c r="Q22" s="53">
        <f t="shared" si="5"/>
        <v>122400</v>
      </c>
      <c r="R22" s="54">
        <v>1.08</v>
      </c>
      <c r="S22" s="53">
        <f t="shared" si="0"/>
        <v>129600.00000000001</v>
      </c>
    </row>
    <row r="23" spans="1:19" x14ac:dyDescent="0.15">
      <c r="A23" s="55" t="s">
        <v>56</v>
      </c>
      <c r="B23" s="51">
        <v>0</v>
      </c>
      <c r="C23" s="51">
        <v>0</v>
      </c>
      <c r="D23" s="51">
        <v>0</v>
      </c>
      <c r="E23" s="51">
        <v>0</v>
      </c>
      <c r="F23" s="51">
        <v>0</v>
      </c>
      <c r="G23" s="51">
        <v>0</v>
      </c>
      <c r="H23" s="51"/>
      <c r="I23" s="51"/>
      <c r="J23" s="79">
        <f t="shared" si="3"/>
        <v>0</v>
      </c>
      <c r="K23" s="80">
        <f t="shared" si="4"/>
        <v>0</v>
      </c>
      <c r="L23" s="81">
        <v>9.52</v>
      </c>
      <c r="M23" s="82">
        <v>0</v>
      </c>
      <c r="N23" s="83">
        <f t="shared" si="2"/>
        <v>0</v>
      </c>
      <c r="O23" s="57">
        <v>0</v>
      </c>
      <c r="P23" s="92"/>
      <c r="Q23" s="53">
        <f t="shared" si="5"/>
        <v>0</v>
      </c>
      <c r="R23" s="54">
        <v>9.52</v>
      </c>
      <c r="S23" s="53">
        <f t="shared" si="0"/>
        <v>0</v>
      </c>
    </row>
    <row r="24" spans="1:19" x14ac:dyDescent="0.15">
      <c r="A24" s="55" t="s">
        <v>57</v>
      </c>
      <c r="B24" s="51">
        <v>997.58</v>
      </c>
      <c r="C24" s="51">
        <v>997.58</v>
      </c>
      <c r="D24" s="51">
        <v>965.4</v>
      </c>
      <c r="E24" s="51">
        <v>997.58</v>
      </c>
      <c r="F24" s="51">
        <f>1098-132.6</f>
        <v>965.4</v>
      </c>
      <c r="G24" s="51">
        <v>997.58</v>
      </c>
      <c r="H24" s="51"/>
      <c r="I24" s="51"/>
      <c r="J24" s="79">
        <f t="shared" si="3"/>
        <v>5921.12</v>
      </c>
      <c r="K24" s="80">
        <f t="shared" si="4"/>
        <v>986.85333333333335</v>
      </c>
      <c r="L24" s="81">
        <v>16.09</v>
      </c>
      <c r="M24" s="82">
        <f>J24+2912.29+2912.29</f>
        <v>11745.7</v>
      </c>
      <c r="N24" s="83">
        <f t="shared" si="2"/>
        <v>730</v>
      </c>
      <c r="O24" s="57">
        <v>730</v>
      </c>
      <c r="P24" s="92"/>
      <c r="Q24" s="53">
        <f t="shared" si="5"/>
        <v>11745.7</v>
      </c>
      <c r="R24" s="54">
        <v>17.7</v>
      </c>
      <c r="S24" s="53">
        <f t="shared" si="0"/>
        <v>12921</v>
      </c>
    </row>
    <row r="25" spans="1:19" x14ac:dyDescent="0.15">
      <c r="A25" s="55" t="s">
        <v>58</v>
      </c>
      <c r="B25" s="51">
        <v>3923.92</v>
      </c>
      <c r="C25" s="51">
        <v>3239.6</v>
      </c>
      <c r="D25" s="51">
        <v>3334.24</v>
      </c>
      <c r="E25" s="51">
        <v>2904.72</v>
      </c>
      <c r="F25" s="51">
        <v>2169.44</v>
      </c>
      <c r="G25" s="51">
        <v>895.44</v>
      </c>
      <c r="H25" s="51"/>
      <c r="I25" s="51"/>
      <c r="J25" s="79">
        <f t="shared" si="3"/>
        <v>16467.36</v>
      </c>
      <c r="K25" s="80">
        <f t="shared" si="4"/>
        <v>2744.56</v>
      </c>
      <c r="L25" s="81">
        <v>7.28</v>
      </c>
      <c r="M25" s="82">
        <v>25000</v>
      </c>
      <c r="N25" s="83">
        <f t="shared" si="2"/>
        <v>3434.065934065934</v>
      </c>
      <c r="O25" s="57">
        <v>2000</v>
      </c>
      <c r="P25" s="92"/>
      <c r="Q25" s="53">
        <f t="shared" si="5"/>
        <v>14560</v>
      </c>
      <c r="R25" s="54">
        <v>7.28</v>
      </c>
      <c r="S25" s="53">
        <f t="shared" si="0"/>
        <v>14560</v>
      </c>
    </row>
    <row r="26" spans="1:19" x14ac:dyDescent="0.15">
      <c r="A26" s="55" t="s">
        <v>59</v>
      </c>
      <c r="B26" s="51">
        <v>0</v>
      </c>
      <c r="C26" s="51">
        <v>0</v>
      </c>
      <c r="D26" s="51">
        <v>0</v>
      </c>
      <c r="E26" s="51">
        <v>0</v>
      </c>
      <c r="F26" s="51">
        <v>0</v>
      </c>
      <c r="G26" s="51">
        <v>0</v>
      </c>
      <c r="H26" s="51"/>
      <c r="I26" s="51"/>
      <c r="J26" s="79">
        <f t="shared" si="3"/>
        <v>0</v>
      </c>
      <c r="K26" s="80">
        <f t="shared" si="4"/>
        <v>0</v>
      </c>
      <c r="L26" s="81">
        <v>8.01</v>
      </c>
      <c r="M26" s="82">
        <v>0</v>
      </c>
      <c r="N26" s="83">
        <f t="shared" si="2"/>
        <v>0</v>
      </c>
      <c r="O26" s="57">
        <v>0</v>
      </c>
      <c r="P26" s="92"/>
      <c r="Q26" s="53">
        <f t="shared" si="5"/>
        <v>0</v>
      </c>
      <c r="R26" s="54">
        <v>8.01</v>
      </c>
      <c r="S26" s="53">
        <f t="shared" si="0"/>
        <v>0</v>
      </c>
    </row>
    <row r="27" spans="1:19" x14ac:dyDescent="0.15">
      <c r="A27" s="55" t="s">
        <v>60</v>
      </c>
      <c r="B27" s="51">
        <v>10208</v>
      </c>
      <c r="C27" s="51">
        <v>9556</v>
      </c>
      <c r="D27" s="51">
        <v>10660.8</v>
      </c>
      <c r="E27" s="51">
        <v>11848.8</v>
      </c>
      <c r="F27" s="51">
        <v>13685.6</v>
      </c>
      <c r="G27" s="51">
        <v>11461.6</v>
      </c>
      <c r="H27" s="51"/>
      <c r="I27" s="51"/>
      <c r="J27" s="79">
        <f t="shared" si="3"/>
        <v>67420.800000000003</v>
      </c>
      <c r="K27" s="80">
        <f t="shared" si="4"/>
        <v>11236.800000000001</v>
      </c>
      <c r="L27" s="81">
        <v>0.8</v>
      </c>
      <c r="M27" s="82">
        <f>J27+66000</f>
        <v>133420.79999999999</v>
      </c>
      <c r="N27" s="83">
        <f t="shared" si="2"/>
        <v>166775.99999999997</v>
      </c>
      <c r="O27" s="56">
        <v>190000</v>
      </c>
      <c r="P27" s="92"/>
      <c r="Q27" s="53">
        <f t="shared" si="5"/>
        <v>152000</v>
      </c>
      <c r="R27" s="54">
        <v>0.8</v>
      </c>
      <c r="S27" s="53">
        <f t="shared" si="0"/>
        <v>152000</v>
      </c>
    </row>
    <row r="28" spans="1:19" x14ac:dyDescent="0.15">
      <c r="A28" s="55" t="s">
        <v>61</v>
      </c>
      <c r="B28" s="51">
        <v>0</v>
      </c>
      <c r="C28" s="51">
        <v>0</v>
      </c>
      <c r="D28" s="51">
        <v>0</v>
      </c>
      <c r="E28" s="51">
        <v>0</v>
      </c>
      <c r="F28" s="51">
        <v>0</v>
      </c>
      <c r="G28" s="51">
        <v>0</v>
      </c>
      <c r="H28" s="51"/>
      <c r="I28" s="51"/>
      <c r="J28" s="79">
        <f t="shared" si="3"/>
        <v>0</v>
      </c>
      <c r="K28" s="80">
        <f t="shared" si="4"/>
        <v>0</v>
      </c>
      <c r="L28" s="81">
        <v>1.21</v>
      </c>
      <c r="M28" s="82">
        <v>0</v>
      </c>
      <c r="N28" s="83">
        <f t="shared" si="2"/>
        <v>0</v>
      </c>
      <c r="O28" s="57">
        <v>0</v>
      </c>
      <c r="P28" s="92"/>
      <c r="Q28" s="53">
        <f t="shared" si="5"/>
        <v>0</v>
      </c>
      <c r="R28" s="54">
        <v>1.21</v>
      </c>
      <c r="S28" s="53">
        <f t="shared" si="0"/>
        <v>0</v>
      </c>
    </row>
    <row r="29" spans="1:19" x14ac:dyDescent="0.15">
      <c r="A29" s="55" t="s">
        <v>62</v>
      </c>
      <c r="B29" s="51">
        <v>1302</v>
      </c>
      <c r="C29" s="51">
        <v>1302</v>
      </c>
      <c r="D29" s="51">
        <v>1260</v>
      </c>
      <c r="E29" s="51">
        <v>1302</v>
      </c>
      <c r="F29" s="51">
        <v>1260</v>
      </c>
      <c r="G29" s="51">
        <v>1302</v>
      </c>
      <c r="H29" s="51"/>
      <c r="I29" s="51"/>
      <c r="J29" s="79">
        <f t="shared" si="3"/>
        <v>7728</v>
      </c>
      <c r="K29" s="80">
        <f t="shared" si="4"/>
        <v>1288</v>
      </c>
      <c r="L29" s="81">
        <v>21</v>
      </c>
      <c r="M29" s="82">
        <f>J29+7602</f>
        <v>15330</v>
      </c>
      <c r="N29" s="83">
        <f t="shared" si="2"/>
        <v>730</v>
      </c>
      <c r="O29" s="52">
        <v>200</v>
      </c>
      <c r="P29" s="92"/>
      <c r="Q29" s="53">
        <f t="shared" si="5"/>
        <v>4200</v>
      </c>
      <c r="R29" s="54">
        <v>23.1</v>
      </c>
      <c r="S29" s="53">
        <f t="shared" si="0"/>
        <v>4620</v>
      </c>
    </row>
    <row r="30" spans="1:19" x14ac:dyDescent="0.15">
      <c r="A30" s="55" t="s">
        <v>63</v>
      </c>
      <c r="B30" s="51">
        <v>1488.48</v>
      </c>
      <c r="C30" s="51">
        <v>1209.3900000000001</v>
      </c>
      <c r="D30" s="51">
        <v>124.04</v>
      </c>
      <c r="E30" s="51">
        <v>248.08</v>
      </c>
      <c r="F30" s="51">
        <v>248.08</v>
      </c>
      <c r="G30" s="51">
        <v>0</v>
      </c>
      <c r="H30" s="51"/>
      <c r="I30" s="51"/>
      <c r="J30" s="79">
        <f t="shared" si="3"/>
        <v>3318.0699999999997</v>
      </c>
      <c r="K30" s="80">
        <f t="shared" si="4"/>
        <v>553.01166666666666</v>
      </c>
      <c r="L30" s="81">
        <v>31.01</v>
      </c>
      <c r="M30" s="82">
        <v>4000</v>
      </c>
      <c r="N30" s="83">
        <f t="shared" si="2"/>
        <v>128.99064817800709</v>
      </c>
      <c r="O30" s="52">
        <v>100</v>
      </c>
      <c r="P30" s="92"/>
      <c r="Q30" s="53">
        <f t="shared" si="5"/>
        <v>3101</v>
      </c>
      <c r="R30" s="54">
        <v>31.01</v>
      </c>
      <c r="S30" s="53">
        <f t="shared" si="0"/>
        <v>3101</v>
      </c>
    </row>
    <row r="31" spans="1:19" x14ac:dyDescent="0.15">
      <c r="A31" s="55" t="s">
        <v>64</v>
      </c>
      <c r="B31" s="51">
        <v>0</v>
      </c>
      <c r="C31" s="51">
        <v>0</v>
      </c>
      <c r="D31" s="51">
        <v>0</v>
      </c>
      <c r="E31" s="51">
        <v>0</v>
      </c>
      <c r="F31" s="51">
        <v>0</v>
      </c>
      <c r="G31" s="51">
        <v>0</v>
      </c>
      <c r="H31" s="51"/>
      <c r="I31" s="51"/>
      <c r="J31" s="79">
        <f t="shared" si="3"/>
        <v>0</v>
      </c>
      <c r="K31" s="80">
        <f t="shared" si="4"/>
        <v>0</v>
      </c>
      <c r="L31" s="81">
        <v>0.89</v>
      </c>
      <c r="M31" s="82">
        <v>0</v>
      </c>
      <c r="N31" s="82">
        <f t="shared" si="2"/>
        <v>0</v>
      </c>
      <c r="O31" s="52">
        <v>0</v>
      </c>
      <c r="P31" s="92"/>
      <c r="Q31" s="53">
        <f t="shared" si="5"/>
        <v>0</v>
      </c>
      <c r="R31" s="54">
        <v>0</v>
      </c>
      <c r="S31" s="53">
        <f t="shared" si="0"/>
        <v>0</v>
      </c>
    </row>
    <row r="32" spans="1:19" x14ac:dyDescent="0.15">
      <c r="B32" s="51"/>
      <c r="C32" s="51"/>
      <c r="D32" s="51"/>
      <c r="E32" s="51"/>
      <c r="F32" s="51"/>
      <c r="G32" s="51"/>
      <c r="H32" s="51"/>
      <c r="I32" s="51"/>
      <c r="J32" s="79"/>
      <c r="K32" s="80"/>
      <c r="L32" s="78"/>
      <c r="M32" s="82"/>
      <c r="N32" s="78"/>
      <c r="Q32" s="53"/>
    </row>
    <row r="33" spans="1:19" s="50" customFormat="1" x14ac:dyDescent="0.15">
      <c r="A33" s="61" t="s">
        <v>65</v>
      </c>
      <c r="B33" s="62">
        <f>SUM(B8:B31)</f>
        <v>144431.56</v>
      </c>
      <c r="C33" s="62">
        <f t="shared" ref="C33:J33" si="6">SUM(C8:C31)</f>
        <v>144119.98000000001</v>
      </c>
      <c r="D33" s="62">
        <f t="shared" si="6"/>
        <v>134143.98000000001</v>
      </c>
      <c r="E33" s="62">
        <f t="shared" si="6"/>
        <v>141659.18</v>
      </c>
      <c r="F33" s="62">
        <f t="shared" si="6"/>
        <v>144017.35999999999</v>
      </c>
      <c r="G33" s="62">
        <f t="shared" si="6"/>
        <v>138410.1</v>
      </c>
      <c r="H33" s="62">
        <f t="shared" si="6"/>
        <v>0</v>
      </c>
      <c r="I33" s="62">
        <f t="shared" si="6"/>
        <v>0</v>
      </c>
      <c r="J33" s="84">
        <f t="shared" si="6"/>
        <v>846782.15999999992</v>
      </c>
      <c r="K33" s="80">
        <f t="shared" si="4"/>
        <v>141130.35999999999</v>
      </c>
      <c r="L33" s="85"/>
      <c r="M33" s="82">
        <f>SUM(M8:M31)</f>
        <v>1641118.2799999998</v>
      </c>
      <c r="N33" s="86"/>
      <c r="P33" s="94"/>
      <c r="Q33" s="55"/>
      <c r="S33" s="55"/>
    </row>
    <row r="34" spans="1:19" x14ac:dyDescent="0.15">
      <c r="B34" s="51"/>
      <c r="C34" s="51"/>
      <c r="D34" s="51"/>
      <c r="E34" s="51"/>
      <c r="F34" s="51"/>
      <c r="G34" s="51"/>
      <c r="H34" s="51"/>
      <c r="I34" s="51"/>
      <c r="J34" s="79"/>
      <c r="K34" s="80"/>
      <c r="L34" s="78"/>
      <c r="M34" s="82"/>
      <c r="N34" s="78"/>
      <c r="Q34" s="53"/>
    </row>
    <row r="35" spans="1:19" x14ac:dyDescent="0.15">
      <c r="J35" s="79"/>
      <c r="K35" s="80"/>
      <c r="L35" s="78"/>
      <c r="M35" s="82"/>
      <c r="N35" s="78"/>
      <c r="Q35" s="53"/>
    </row>
    <row r="36" spans="1:19" x14ac:dyDescent="0.15">
      <c r="A36" s="50" t="s">
        <v>66</v>
      </c>
      <c r="B36" s="51">
        <v>0</v>
      </c>
      <c r="C36" s="51">
        <v>187.5</v>
      </c>
      <c r="D36" s="51">
        <v>0</v>
      </c>
      <c r="E36" s="51">
        <v>0</v>
      </c>
      <c r="F36" s="51">
        <v>0</v>
      </c>
      <c r="G36" s="51">
        <v>0</v>
      </c>
      <c r="H36" s="51"/>
      <c r="I36" s="51"/>
      <c r="J36" s="79">
        <f t="shared" si="3"/>
        <v>187.5</v>
      </c>
      <c r="K36" s="80">
        <f t="shared" si="4"/>
        <v>31.25</v>
      </c>
      <c r="L36" s="78"/>
      <c r="M36" s="82">
        <v>500</v>
      </c>
      <c r="N36" s="78"/>
      <c r="P36" s="95" t="s">
        <v>67</v>
      </c>
      <c r="Q36" s="53">
        <v>1000</v>
      </c>
      <c r="S36" s="63">
        <v>1500</v>
      </c>
    </row>
    <row r="37" spans="1:19" x14ac:dyDescent="0.15">
      <c r="A37" s="50" t="s">
        <v>68</v>
      </c>
      <c r="B37" s="51">
        <v>50</v>
      </c>
      <c r="C37" s="51">
        <v>100</v>
      </c>
      <c r="D37" s="51">
        <v>0</v>
      </c>
      <c r="E37" s="51">
        <v>50</v>
      </c>
      <c r="F37" s="51">
        <v>50</v>
      </c>
      <c r="G37" s="51">
        <v>0</v>
      </c>
      <c r="H37" s="51"/>
      <c r="I37" s="51"/>
      <c r="J37" s="79">
        <f t="shared" si="3"/>
        <v>250</v>
      </c>
      <c r="K37" s="80">
        <f t="shared" si="4"/>
        <v>41.666666666666664</v>
      </c>
      <c r="L37" s="78"/>
      <c r="M37" s="82">
        <v>500</v>
      </c>
      <c r="N37" s="78"/>
      <c r="P37" s="96"/>
      <c r="Q37" s="65">
        <v>500</v>
      </c>
      <c r="R37" s="66"/>
      <c r="S37" s="65">
        <v>500</v>
      </c>
    </row>
    <row r="38" spans="1:19" x14ac:dyDescent="0.15">
      <c r="A38" s="50" t="s">
        <v>69</v>
      </c>
      <c r="B38" s="51">
        <v>3051.38</v>
      </c>
      <c r="C38" s="51">
        <v>2369.42</v>
      </c>
      <c r="D38" s="51">
        <v>2008.11</v>
      </c>
      <c r="E38" s="51">
        <v>2828.09</v>
      </c>
      <c r="F38" s="51">
        <v>2992.44</v>
      </c>
      <c r="G38" s="51">
        <v>2780.35</v>
      </c>
      <c r="H38" s="51"/>
      <c r="I38" s="51"/>
      <c r="J38" s="79">
        <f t="shared" si="3"/>
        <v>16029.79</v>
      </c>
      <c r="K38" s="80">
        <f t="shared" si="4"/>
        <v>2671.6316666666667</v>
      </c>
      <c r="L38" s="78"/>
      <c r="M38" s="82">
        <v>35000</v>
      </c>
      <c r="N38" s="78"/>
      <c r="Q38" s="65">
        <v>35000</v>
      </c>
      <c r="S38" s="65">
        <v>35000</v>
      </c>
    </row>
    <row r="39" spans="1:19" x14ac:dyDescent="0.15">
      <c r="A39" s="50" t="s">
        <v>70</v>
      </c>
      <c r="B39" s="51">
        <v>2261.7800000000002</v>
      </c>
      <c r="C39" s="51">
        <v>2567.62</v>
      </c>
      <c r="D39" s="51">
        <v>839.28</v>
      </c>
      <c r="E39" s="51">
        <v>953.07</v>
      </c>
      <c r="F39" s="51">
        <v>718.36</v>
      </c>
      <c r="G39" s="51">
        <v>0</v>
      </c>
      <c r="H39" s="51"/>
      <c r="I39" s="51"/>
      <c r="J39" s="79">
        <f t="shared" si="3"/>
        <v>7340.1099999999988</v>
      </c>
      <c r="K39" s="80">
        <f t="shared" si="4"/>
        <v>1223.3516666666665</v>
      </c>
      <c r="L39" s="78"/>
      <c r="M39" s="82">
        <v>18000</v>
      </c>
      <c r="N39" s="78"/>
      <c r="P39" s="95" t="s">
        <v>71</v>
      </c>
      <c r="Q39" s="65">
        <v>25000</v>
      </c>
      <c r="S39" s="63">
        <v>50000</v>
      </c>
    </row>
    <row r="40" spans="1:19" s="66" customFormat="1" x14ac:dyDescent="0.15">
      <c r="A40" s="67" t="s">
        <v>72</v>
      </c>
      <c r="B40" s="68">
        <v>0</v>
      </c>
      <c r="C40" s="68">
        <v>0</v>
      </c>
      <c r="D40" s="68">
        <v>0</v>
      </c>
      <c r="E40" s="68">
        <v>0</v>
      </c>
      <c r="F40" s="68">
        <v>0</v>
      </c>
      <c r="G40" s="68">
        <v>0</v>
      </c>
      <c r="H40" s="68"/>
      <c r="I40" s="68"/>
      <c r="J40" s="79">
        <f t="shared" si="3"/>
        <v>0</v>
      </c>
      <c r="K40" s="80">
        <f t="shared" si="4"/>
        <v>0</v>
      </c>
      <c r="L40" s="78"/>
      <c r="M40" s="82">
        <v>0</v>
      </c>
      <c r="N40" s="78"/>
      <c r="O40" s="64"/>
      <c r="P40" s="97"/>
      <c r="Q40" s="65">
        <v>0</v>
      </c>
      <c r="S40" s="65">
        <v>0</v>
      </c>
    </row>
    <row r="41" spans="1:19" x14ac:dyDescent="0.15">
      <c r="A41" s="50" t="s">
        <v>73</v>
      </c>
      <c r="B41" s="51">
        <v>221.06</v>
      </c>
      <c r="C41" s="51">
        <v>121.68</v>
      </c>
      <c r="D41" s="51">
        <v>892.15</v>
      </c>
      <c r="E41" s="51">
        <v>137.5</v>
      </c>
      <c r="F41" s="51">
        <v>97.06</v>
      </c>
      <c r="G41" s="51">
        <v>297.79000000000002</v>
      </c>
      <c r="H41" s="51"/>
      <c r="I41" s="51"/>
      <c r="J41" s="79">
        <f t="shared" si="3"/>
        <v>1767.2399999999998</v>
      </c>
      <c r="K41" s="80">
        <f t="shared" si="4"/>
        <v>294.53999999999996</v>
      </c>
      <c r="L41" s="78"/>
      <c r="M41" s="82">
        <v>4000</v>
      </c>
      <c r="N41" s="78"/>
      <c r="Q41" s="65">
        <v>5000</v>
      </c>
      <c r="S41" s="65">
        <v>5000</v>
      </c>
    </row>
    <row r="42" spans="1:19" x14ac:dyDescent="0.15">
      <c r="A42" s="50" t="s">
        <v>74</v>
      </c>
      <c r="B42" s="51">
        <v>4940.8</v>
      </c>
      <c r="C42" s="51">
        <v>8055.35</v>
      </c>
      <c r="D42" s="51">
        <v>0</v>
      </c>
      <c r="E42" s="51">
        <v>2267.15</v>
      </c>
      <c r="F42" s="51">
        <v>1633.8</v>
      </c>
      <c r="G42" s="51"/>
      <c r="H42" s="51"/>
      <c r="I42" s="51"/>
      <c r="J42" s="79">
        <f t="shared" si="3"/>
        <v>16897.100000000002</v>
      </c>
      <c r="K42" s="80">
        <f t="shared" si="4"/>
        <v>2816.1833333333338</v>
      </c>
      <c r="L42" s="78"/>
      <c r="M42" s="82">
        <v>30000</v>
      </c>
      <c r="N42" s="78"/>
      <c r="Q42" s="65">
        <v>35000</v>
      </c>
      <c r="S42" s="65">
        <v>35000</v>
      </c>
    </row>
    <row r="43" spans="1:19" x14ac:dyDescent="0.15">
      <c r="A43" s="50" t="s">
        <v>75</v>
      </c>
      <c r="B43" s="51">
        <v>916.42</v>
      </c>
      <c r="C43" s="51">
        <v>844.41</v>
      </c>
      <c r="D43" s="51">
        <v>1215.07</v>
      </c>
      <c r="E43" s="51">
        <v>1833.5</v>
      </c>
      <c r="F43" s="51">
        <v>1630.39</v>
      </c>
      <c r="G43" s="51">
        <v>1628.55</v>
      </c>
      <c r="H43" s="51"/>
      <c r="I43" s="51"/>
      <c r="J43" s="79">
        <f t="shared" si="3"/>
        <v>8068.34</v>
      </c>
      <c r="K43" s="80">
        <f t="shared" si="4"/>
        <v>1344.7233333333334</v>
      </c>
      <c r="L43" s="78"/>
      <c r="M43" s="82">
        <v>16000</v>
      </c>
      <c r="N43" s="78"/>
      <c r="Q43" s="65">
        <v>18000</v>
      </c>
      <c r="S43" s="65">
        <v>18000</v>
      </c>
    </row>
    <row r="44" spans="1:19" x14ac:dyDescent="0.15">
      <c r="A44" s="50" t="s">
        <v>76</v>
      </c>
      <c r="B44" s="51">
        <v>3486.72</v>
      </c>
      <c r="C44" s="51">
        <v>3557.64</v>
      </c>
      <c r="D44" s="51">
        <v>0</v>
      </c>
      <c r="E44" s="51">
        <v>3789.32</v>
      </c>
      <c r="F44" s="51">
        <v>1022.98</v>
      </c>
      <c r="G44" s="51">
        <v>0</v>
      </c>
      <c r="H44" s="51"/>
      <c r="I44" s="51"/>
      <c r="J44" s="79">
        <f t="shared" si="3"/>
        <v>11856.66</v>
      </c>
      <c r="K44" s="80">
        <f t="shared" si="4"/>
        <v>1976.11</v>
      </c>
      <c r="L44" s="78"/>
      <c r="M44" s="82">
        <v>25000</v>
      </c>
      <c r="N44" s="78"/>
      <c r="Q44" s="65">
        <v>25000</v>
      </c>
      <c r="S44" s="65">
        <v>25000</v>
      </c>
    </row>
    <row r="45" spans="1:19" x14ac:dyDescent="0.15">
      <c r="A45" s="50" t="s">
        <v>77</v>
      </c>
      <c r="B45" s="51">
        <v>0</v>
      </c>
      <c r="C45" s="51">
        <v>0</v>
      </c>
      <c r="D45" s="51">
        <v>0</v>
      </c>
      <c r="E45" s="51">
        <v>0</v>
      </c>
      <c r="F45" s="51">
        <v>0</v>
      </c>
      <c r="G45" s="51">
        <v>0</v>
      </c>
      <c r="H45" s="51"/>
      <c r="I45" s="51"/>
      <c r="J45" s="79">
        <f t="shared" si="3"/>
        <v>0</v>
      </c>
      <c r="K45" s="80">
        <f t="shared" si="4"/>
        <v>0</v>
      </c>
      <c r="L45" s="78"/>
      <c r="M45" s="82">
        <v>0</v>
      </c>
      <c r="N45" s="78"/>
      <c r="Q45" s="65">
        <v>0</v>
      </c>
      <c r="S45" s="65">
        <v>0</v>
      </c>
    </row>
    <row r="46" spans="1:19" x14ac:dyDescent="0.15">
      <c r="A46" s="50"/>
      <c r="B46" s="51"/>
      <c r="C46" s="51"/>
      <c r="D46" s="51"/>
      <c r="E46" s="51"/>
      <c r="F46" s="51"/>
      <c r="G46" s="51"/>
      <c r="H46" s="51"/>
      <c r="I46" s="51"/>
      <c r="J46" s="79"/>
      <c r="K46" s="80"/>
      <c r="L46" s="78"/>
      <c r="M46" s="82"/>
      <c r="N46" s="78"/>
      <c r="Q46" s="53"/>
      <c r="S46" s="53"/>
    </row>
    <row r="47" spans="1:19" x14ac:dyDescent="0.15">
      <c r="A47" s="50" t="s">
        <v>78</v>
      </c>
      <c r="B47" s="51">
        <v>1744.04</v>
      </c>
      <c r="C47" s="51">
        <v>619.20000000000005</v>
      </c>
      <c r="D47" s="51">
        <v>485.04</v>
      </c>
      <c r="E47" s="51">
        <v>86.1</v>
      </c>
      <c r="F47" s="51">
        <v>56.4</v>
      </c>
      <c r="G47" s="51">
        <v>32.479999999999997</v>
      </c>
      <c r="H47" s="51"/>
      <c r="I47" s="51"/>
      <c r="J47" s="79">
        <f t="shared" si="3"/>
        <v>3023.2599999999998</v>
      </c>
      <c r="K47" s="80">
        <f t="shared" si="4"/>
        <v>503.87666666666661</v>
      </c>
      <c r="L47" s="78"/>
      <c r="M47" s="82">
        <v>4000</v>
      </c>
      <c r="N47" s="78"/>
      <c r="P47" s="95" t="s">
        <v>79</v>
      </c>
      <c r="Q47" s="53">
        <v>3000</v>
      </c>
      <c r="S47" s="53">
        <v>3000</v>
      </c>
    </row>
    <row r="48" spans="1:19" x14ac:dyDescent="0.15">
      <c r="A48" s="50" t="s">
        <v>80</v>
      </c>
      <c r="B48" s="51">
        <v>3422.14</v>
      </c>
      <c r="C48" s="51">
        <v>3762.85</v>
      </c>
      <c r="D48" s="51">
        <v>2017.34</v>
      </c>
      <c r="E48" s="51">
        <v>2902.22</v>
      </c>
      <c r="F48" s="51">
        <v>984.4</v>
      </c>
      <c r="G48" s="51">
        <v>861.34</v>
      </c>
      <c r="H48" s="51"/>
      <c r="I48" s="51"/>
      <c r="J48" s="79">
        <f t="shared" si="3"/>
        <v>13950.289999999999</v>
      </c>
      <c r="K48" s="80">
        <f t="shared" si="4"/>
        <v>2325.0483333333332</v>
      </c>
      <c r="L48" s="78"/>
      <c r="M48" s="82">
        <v>20000</v>
      </c>
      <c r="N48" s="78"/>
      <c r="P48" s="95" t="s">
        <v>79</v>
      </c>
      <c r="Q48" s="53">
        <v>15000</v>
      </c>
      <c r="S48" s="53">
        <v>15000</v>
      </c>
    </row>
    <row r="49" spans="1:19" x14ac:dyDescent="0.15">
      <c r="B49" s="51"/>
      <c r="C49" s="51"/>
      <c r="D49" s="51"/>
      <c r="E49" s="51"/>
      <c r="F49" s="51"/>
      <c r="G49" s="51"/>
      <c r="H49" s="51"/>
      <c r="I49" s="51"/>
      <c r="J49" s="79"/>
      <c r="K49" s="80"/>
      <c r="L49" s="87"/>
      <c r="M49" s="82"/>
      <c r="N49" s="78"/>
    </row>
    <row r="50" spans="1:19" s="50" customFormat="1" x14ac:dyDescent="0.15">
      <c r="A50" s="69" t="s">
        <v>81</v>
      </c>
      <c r="B50" s="70">
        <f t="shared" ref="B50:I50" si="7">B33+SUM(B36:B48)</f>
        <v>164525.9</v>
      </c>
      <c r="C50" s="70">
        <f t="shared" si="7"/>
        <v>166305.65000000002</v>
      </c>
      <c r="D50" s="70">
        <f t="shared" si="7"/>
        <v>141600.97</v>
      </c>
      <c r="E50" s="70">
        <f t="shared" si="7"/>
        <v>156506.13</v>
      </c>
      <c r="F50" s="70">
        <f t="shared" si="7"/>
        <v>153203.18999999997</v>
      </c>
      <c r="G50" s="70">
        <f t="shared" si="7"/>
        <v>144010.61000000002</v>
      </c>
      <c r="H50" s="70">
        <f t="shared" si="7"/>
        <v>0</v>
      </c>
      <c r="I50" s="70">
        <f t="shared" si="7"/>
        <v>0</v>
      </c>
      <c r="J50" s="88">
        <f>SUM(B50:I50)</f>
        <v>926152.45</v>
      </c>
      <c r="K50" s="80">
        <f t="shared" si="4"/>
        <v>154358.74166666667</v>
      </c>
      <c r="L50" s="86"/>
      <c r="M50" s="82">
        <f t="shared" ref="M50" si="8">K50*12</f>
        <v>1852304.9</v>
      </c>
      <c r="N50" s="86"/>
      <c r="P50" s="94"/>
      <c r="Q50" s="71">
        <f>SUM(Q9:Q48)</f>
        <v>1687653.7</v>
      </c>
      <c r="R50" s="55"/>
      <c r="S50" s="72">
        <f>SUM(S8:S48)</f>
        <v>1807220</v>
      </c>
    </row>
    <row r="52" spans="1:19" x14ac:dyDescent="0.15">
      <c r="B52" s="73"/>
      <c r="C52" s="73"/>
      <c r="D52" s="73"/>
      <c r="E52" s="73"/>
      <c r="F52" s="73"/>
      <c r="G52" s="73"/>
      <c r="H52" s="73"/>
      <c r="I52" s="73"/>
    </row>
    <row r="53" spans="1:19" x14ac:dyDescent="0.15">
      <c r="Q53" s="90" t="s">
        <v>87</v>
      </c>
      <c r="R53" s="90"/>
      <c r="S53" s="74">
        <v>1807221.4240000001</v>
      </c>
    </row>
    <row r="55" spans="1:19" x14ac:dyDescent="0.15">
      <c r="L55" s="75"/>
      <c r="M55" s="76"/>
      <c r="N55" s="76"/>
      <c r="O55" s="76"/>
      <c r="P55" s="98"/>
      <c r="Q55" s="76"/>
      <c r="S55" s="77">
        <f>S53-S50</f>
        <v>1.424000000115484</v>
      </c>
    </row>
    <row r="56" spans="1:19" x14ac:dyDescent="0.15">
      <c r="L56" s="76"/>
      <c r="M56" s="76"/>
      <c r="N56" s="76"/>
      <c r="O56" s="76"/>
      <c r="P56" s="98"/>
      <c r="Q56" s="76"/>
    </row>
    <row r="57" spans="1:19" x14ac:dyDescent="0.15">
      <c r="L57" s="76"/>
      <c r="M57" s="76"/>
      <c r="N57" s="76"/>
      <c r="O57" s="76"/>
      <c r="P57" s="98"/>
      <c r="Q57" s="76"/>
    </row>
  </sheetData>
  <mergeCells count="1">
    <mergeCell ref="J2:N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workbookViewId="0"/>
  </sheetViews>
  <sheetFormatPr baseColWidth="10" defaultColWidth="9.1640625" defaultRowHeight="12" x14ac:dyDescent="0.15"/>
  <cols>
    <col min="1" max="1" width="31.5" style="45" bestFit="1" customWidth="1"/>
    <col min="2" max="3" width="14.1640625" style="45" hidden="1" customWidth="1"/>
    <col min="4" max="6" width="13.6640625" style="45" hidden="1" customWidth="1"/>
    <col min="7" max="7" width="13.5" style="45" hidden="1" customWidth="1"/>
    <col min="8" max="8" width="7.83203125" style="45" hidden="1" customWidth="1"/>
    <col min="9" max="9" width="8" style="45" hidden="1" customWidth="1"/>
    <col min="10" max="10" width="11.5" style="134" customWidth="1"/>
    <col min="11" max="11" width="30.33203125" style="45" bestFit="1" customWidth="1"/>
    <col min="12" max="16384" width="9.1640625" style="45"/>
  </cols>
  <sheetData>
    <row r="1" spans="1:10" ht="15.75" customHeight="1" x14ac:dyDescent="0.25">
      <c r="A1" s="44" t="s">
        <v>133</v>
      </c>
      <c r="J1" s="131"/>
    </row>
    <row r="2" spans="1:10" x14ac:dyDescent="0.15">
      <c r="J2" s="132"/>
    </row>
    <row r="3" spans="1:10" x14ac:dyDescent="0.15">
      <c r="B3" s="49" t="s">
        <v>25</v>
      </c>
      <c r="C3" s="49" t="s">
        <v>26</v>
      </c>
      <c r="D3" s="49" t="s">
        <v>27</v>
      </c>
      <c r="E3" s="49" t="s">
        <v>28</v>
      </c>
      <c r="F3" s="49" t="s">
        <v>29</v>
      </c>
      <c r="G3" s="49" t="s">
        <v>30</v>
      </c>
      <c r="H3" s="49" t="s">
        <v>31</v>
      </c>
      <c r="I3" s="49" t="s">
        <v>32</v>
      </c>
      <c r="J3" s="133"/>
    </row>
    <row r="4" spans="1:10" ht="13.5" customHeight="1" x14ac:dyDescent="0.15">
      <c r="A4" s="129" t="s">
        <v>132</v>
      </c>
      <c r="B4" s="130"/>
      <c r="C4" s="130"/>
      <c r="D4" s="130"/>
      <c r="E4" s="130"/>
      <c r="F4" s="130"/>
      <c r="G4" s="130"/>
      <c r="H4" s="130"/>
      <c r="I4" s="130"/>
      <c r="J4" s="135" t="s">
        <v>88</v>
      </c>
    </row>
    <row r="5" spans="1:10" ht="12.75" customHeight="1" x14ac:dyDescent="0.15">
      <c r="A5" s="50" t="s">
        <v>38</v>
      </c>
      <c r="B5" s="51">
        <v>165</v>
      </c>
      <c r="C5" s="51">
        <v>245</v>
      </c>
      <c r="D5" s="51">
        <v>20</v>
      </c>
      <c r="E5" s="51">
        <v>0</v>
      </c>
      <c r="F5" s="51">
        <v>0</v>
      </c>
      <c r="G5" s="51">
        <v>0</v>
      </c>
      <c r="H5" s="51"/>
      <c r="I5" s="51"/>
      <c r="J5" s="136">
        <v>2.5</v>
      </c>
    </row>
    <row r="6" spans="1:10" ht="12.75" customHeight="1" x14ac:dyDescent="0.15">
      <c r="A6" s="50" t="s">
        <v>40</v>
      </c>
      <c r="B6" s="51">
        <v>0</v>
      </c>
      <c r="C6" s="51">
        <v>0</v>
      </c>
      <c r="D6" s="51">
        <v>0</v>
      </c>
      <c r="E6" s="51">
        <v>0</v>
      </c>
      <c r="F6" s="51">
        <v>0</v>
      </c>
      <c r="G6" s="51">
        <v>0</v>
      </c>
      <c r="H6" s="51"/>
      <c r="I6" s="51"/>
      <c r="J6" s="136">
        <v>21.81</v>
      </c>
    </row>
    <row r="7" spans="1:10" ht="12.75" customHeight="1" x14ac:dyDescent="0.15">
      <c r="A7" s="55" t="s">
        <v>41</v>
      </c>
      <c r="B7" s="51">
        <v>0</v>
      </c>
      <c r="C7" s="51">
        <v>0</v>
      </c>
      <c r="D7" s="51">
        <v>0</v>
      </c>
      <c r="E7" s="51">
        <v>0</v>
      </c>
      <c r="F7" s="51">
        <v>0</v>
      </c>
      <c r="G7" s="51">
        <v>0</v>
      </c>
      <c r="H7" s="51"/>
      <c r="I7" s="51"/>
      <c r="J7" s="136">
        <v>2.97</v>
      </c>
    </row>
    <row r="8" spans="1:10" ht="12.75" customHeight="1" x14ac:dyDescent="0.15">
      <c r="A8" s="55" t="s">
        <v>42</v>
      </c>
      <c r="B8" s="51">
        <v>0</v>
      </c>
      <c r="C8" s="51">
        <v>0</v>
      </c>
      <c r="D8" s="51">
        <v>0</v>
      </c>
      <c r="E8" s="51">
        <v>0</v>
      </c>
      <c r="F8" s="51">
        <v>0</v>
      </c>
      <c r="G8" s="51">
        <v>0</v>
      </c>
      <c r="H8" s="51"/>
      <c r="I8" s="51"/>
      <c r="J8" s="136">
        <v>3.71</v>
      </c>
    </row>
    <row r="9" spans="1:10" ht="12.75" customHeight="1" x14ac:dyDescent="0.15">
      <c r="A9" s="55" t="s">
        <v>43</v>
      </c>
      <c r="B9" s="51">
        <v>0</v>
      </c>
      <c r="C9" s="51">
        <v>0</v>
      </c>
      <c r="D9" s="51">
        <v>0</v>
      </c>
      <c r="E9" s="51">
        <v>0</v>
      </c>
      <c r="F9" s="51">
        <v>0</v>
      </c>
      <c r="G9" s="51">
        <v>0</v>
      </c>
      <c r="H9" s="51"/>
      <c r="I9" s="51"/>
      <c r="J9" s="136">
        <v>5.26</v>
      </c>
    </row>
    <row r="10" spans="1:10" ht="12.75" customHeight="1" x14ac:dyDescent="0.15">
      <c r="A10" s="55" t="s">
        <v>44</v>
      </c>
      <c r="B10" s="51">
        <v>780.78</v>
      </c>
      <c r="C10" s="51">
        <v>572.91</v>
      </c>
      <c r="D10" s="51">
        <v>425.88</v>
      </c>
      <c r="E10" s="51">
        <v>233.22</v>
      </c>
      <c r="F10" s="51">
        <v>334.62</v>
      </c>
      <c r="G10" s="51">
        <v>993.72</v>
      </c>
      <c r="H10" s="51"/>
      <c r="I10" s="51"/>
      <c r="J10" s="136">
        <v>5.58</v>
      </c>
    </row>
    <row r="11" spans="1:10" ht="12.75" customHeight="1" x14ac:dyDescent="0.15">
      <c r="A11" s="55" t="s">
        <v>45</v>
      </c>
      <c r="B11" s="51">
        <v>0</v>
      </c>
      <c r="C11" s="51">
        <v>0</v>
      </c>
      <c r="D11" s="51">
        <v>0</v>
      </c>
      <c r="E11" s="51">
        <v>0</v>
      </c>
      <c r="F11" s="51">
        <v>0</v>
      </c>
      <c r="G11" s="51">
        <v>0</v>
      </c>
      <c r="H11" s="51"/>
      <c r="I11" s="51"/>
      <c r="J11" s="136">
        <v>1.75</v>
      </c>
    </row>
    <row r="12" spans="1:10" ht="12.75" customHeight="1" x14ac:dyDescent="0.15">
      <c r="A12" s="55" t="s">
        <v>46</v>
      </c>
      <c r="B12" s="51">
        <v>0</v>
      </c>
      <c r="C12" s="51">
        <v>0</v>
      </c>
      <c r="D12" s="51">
        <v>0</v>
      </c>
      <c r="E12" s="51">
        <v>0</v>
      </c>
      <c r="F12" s="51">
        <v>0</v>
      </c>
      <c r="G12" s="51">
        <v>0</v>
      </c>
      <c r="H12" s="51"/>
      <c r="I12" s="51"/>
      <c r="J12" s="136">
        <v>2.25</v>
      </c>
    </row>
    <row r="13" spans="1:10" ht="12.75" customHeight="1" x14ac:dyDescent="0.15">
      <c r="A13" s="55" t="s">
        <v>47</v>
      </c>
      <c r="B13" s="51">
        <v>0</v>
      </c>
      <c r="C13" s="51">
        <v>0</v>
      </c>
      <c r="D13" s="51">
        <v>0</v>
      </c>
      <c r="E13" s="51">
        <v>0</v>
      </c>
      <c r="F13" s="51">
        <v>0</v>
      </c>
      <c r="G13" s="51">
        <v>0</v>
      </c>
      <c r="H13" s="51"/>
      <c r="I13" s="51"/>
      <c r="J13" s="136">
        <v>2.75</v>
      </c>
    </row>
    <row r="14" spans="1:10" ht="12.75" customHeight="1" x14ac:dyDescent="0.15">
      <c r="A14" s="55" t="s">
        <v>48</v>
      </c>
      <c r="B14" s="51">
        <v>0</v>
      </c>
      <c r="C14" s="51">
        <v>0</v>
      </c>
      <c r="D14" s="51">
        <v>0</v>
      </c>
      <c r="E14" s="51">
        <v>0</v>
      </c>
      <c r="F14" s="51">
        <v>0</v>
      </c>
      <c r="G14" s="51">
        <v>0</v>
      </c>
      <c r="H14" s="51"/>
      <c r="I14" s="51"/>
      <c r="J14" s="136">
        <v>2.0699999999999998</v>
      </c>
    </row>
    <row r="15" spans="1:10" x14ac:dyDescent="0.15">
      <c r="A15" s="55" t="s">
        <v>49</v>
      </c>
      <c r="B15" s="51">
        <v>0</v>
      </c>
      <c r="C15" s="51">
        <v>0</v>
      </c>
      <c r="D15" s="51">
        <v>0</v>
      </c>
      <c r="E15" s="51">
        <v>0</v>
      </c>
      <c r="F15" s="51">
        <v>0</v>
      </c>
      <c r="G15" s="51">
        <v>0</v>
      </c>
      <c r="H15" s="51"/>
      <c r="I15" s="51"/>
      <c r="J15" s="136">
        <v>0.7</v>
      </c>
    </row>
    <row r="16" spans="1:10" x14ac:dyDescent="0.15">
      <c r="A16" s="55" t="s">
        <v>50</v>
      </c>
      <c r="B16" s="51">
        <v>0</v>
      </c>
      <c r="C16" s="51">
        <v>0</v>
      </c>
      <c r="D16" s="51">
        <v>0</v>
      </c>
      <c r="E16" s="51">
        <v>0</v>
      </c>
      <c r="F16" s="51">
        <v>0</v>
      </c>
      <c r="G16" s="51">
        <v>0</v>
      </c>
      <c r="H16" s="51"/>
      <c r="I16" s="51"/>
      <c r="J16" s="136">
        <v>0.88</v>
      </c>
    </row>
    <row r="17" spans="1:10" s="60" customFormat="1" x14ac:dyDescent="0.15">
      <c r="A17" s="58" t="s">
        <v>51</v>
      </c>
      <c r="B17" s="59">
        <v>113374.84</v>
      </c>
      <c r="C17" s="59">
        <v>116429.58</v>
      </c>
      <c r="D17" s="59">
        <v>107640.78</v>
      </c>
      <c r="E17" s="59">
        <v>108826.18</v>
      </c>
      <c r="F17" s="59">
        <v>89573.64</v>
      </c>
      <c r="G17" s="59">
        <v>90150.36</v>
      </c>
      <c r="H17" s="59"/>
      <c r="I17" s="59"/>
      <c r="J17" s="136">
        <v>0.92</v>
      </c>
    </row>
    <row r="18" spans="1:10" x14ac:dyDescent="0.15">
      <c r="A18" s="55" t="s">
        <v>53</v>
      </c>
      <c r="B18" s="51">
        <v>14.2</v>
      </c>
      <c r="C18" s="51">
        <v>17.04</v>
      </c>
      <c r="D18" s="51">
        <v>1.42</v>
      </c>
      <c r="E18" s="51">
        <v>31.24</v>
      </c>
      <c r="F18" s="51">
        <v>0</v>
      </c>
      <c r="G18" s="51">
        <v>0</v>
      </c>
      <c r="H18" s="51"/>
      <c r="I18" s="51"/>
      <c r="J18" s="136">
        <v>1.48</v>
      </c>
    </row>
    <row r="19" spans="1:10" x14ac:dyDescent="0.15">
      <c r="A19" s="55" t="s">
        <v>54</v>
      </c>
      <c r="B19" s="51">
        <v>12176.76</v>
      </c>
      <c r="C19" s="51">
        <v>10550.88</v>
      </c>
      <c r="D19" s="51">
        <v>9711.42</v>
      </c>
      <c r="E19" s="51">
        <v>15267.36</v>
      </c>
      <c r="F19" s="51">
        <f>35647.98+132.6</f>
        <v>35780.58</v>
      </c>
      <c r="G19" s="51">
        <v>32609.4</v>
      </c>
      <c r="H19" s="51"/>
      <c r="I19" s="51"/>
      <c r="J19" s="136">
        <v>1.08</v>
      </c>
    </row>
    <row r="20" spans="1:10" x14ac:dyDescent="0.15">
      <c r="A20" s="55" t="s">
        <v>56</v>
      </c>
      <c r="B20" s="51">
        <v>0</v>
      </c>
      <c r="C20" s="51">
        <v>0</v>
      </c>
      <c r="D20" s="51">
        <v>0</v>
      </c>
      <c r="E20" s="51">
        <v>0</v>
      </c>
      <c r="F20" s="51">
        <v>0</v>
      </c>
      <c r="G20" s="51">
        <v>0</v>
      </c>
      <c r="H20" s="51"/>
      <c r="I20" s="51"/>
      <c r="J20" s="136">
        <v>9.52</v>
      </c>
    </row>
    <row r="21" spans="1:10" x14ac:dyDescent="0.15">
      <c r="A21" s="55" t="s">
        <v>57</v>
      </c>
      <c r="B21" s="51">
        <v>997.58</v>
      </c>
      <c r="C21" s="51">
        <v>997.58</v>
      </c>
      <c r="D21" s="51">
        <v>965.4</v>
      </c>
      <c r="E21" s="51">
        <v>997.58</v>
      </c>
      <c r="F21" s="51">
        <f>1098-132.6</f>
        <v>965.4</v>
      </c>
      <c r="G21" s="51">
        <v>997.58</v>
      </c>
      <c r="H21" s="51"/>
      <c r="I21" s="51"/>
      <c r="J21" s="136">
        <v>17.7</v>
      </c>
    </row>
    <row r="22" spans="1:10" x14ac:dyDescent="0.15">
      <c r="A22" s="55" t="s">
        <v>58</v>
      </c>
      <c r="B22" s="51">
        <v>3923.92</v>
      </c>
      <c r="C22" s="51">
        <v>3239.6</v>
      </c>
      <c r="D22" s="51">
        <v>3334.24</v>
      </c>
      <c r="E22" s="51">
        <v>2904.72</v>
      </c>
      <c r="F22" s="51">
        <v>2169.44</v>
      </c>
      <c r="G22" s="51">
        <v>895.44</v>
      </c>
      <c r="H22" s="51"/>
      <c r="I22" s="51"/>
      <c r="J22" s="136">
        <v>7.28</v>
      </c>
    </row>
    <row r="23" spans="1:10" x14ac:dyDescent="0.15">
      <c r="A23" s="55" t="s">
        <v>59</v>
      </c>
      <c r="B23" s="51">
        <v>0</v>
      </c>
      <c r="C23" s="51">
        <v>0</v>
      </c>
      <c r="D23" s="51">
        <v>0</v>
      </c>
      <c r="E23" s="51">
        <v>0</v>
      </c>
      <c r="F23" s="51">
        <v>0</v>
      </c>
      <c r="G23" s="51">
        <v>0</v>
      </c>
      <c r="H23" s="51"/>
      <c r="I23" s="51"/>
      <c r="J23" s="136">
        <v>8.01</v>
      </c>
    </row>
    <row r="24" spans="1:10" x14ac:dyDescent="0.15">
      <c r="A24" s="55" t="s">
        <v>60</v>
      </c>
      <c r="B24" s="51">
        <v>10208</v>
      </c>
      <c r="C24" s="51">
        <v>9556</v>
      </c>
      <c r="D24" s="51">
        <v>10660.8</v>
      </c>
      <c r="E24" s="51">
        <v>11848.8</v>
      </c>
      <c r="F24" s="51">
        <v>13685.6</v>
      </c>
      <c r="G24" s="51">
        <v>11461.6</v>
      </c>
      <c r="H24" s="51"/>
      <c r="I24" s="51"/>
      <c r="J24" s="136">
        <v>0.8</v>
      </c>
    </row>
    <row r="25" spans="1:10" x14ac:dyDescent="0.15">
      <c r="A25" s="55" t="s">
        <v>61</v>
      </c>
      <c r="B25" s="51">
        <v>0</v>
      </c>
      <c r="C25" s="51">
        <v>0</v>
      </c>
      <c r="D25" s="51">
        <v>0</v>
      </c>
      <c r="E25" s="51">
        <v>0</v>
      </c>
      <c r="F25" s="51">
        <v>0</v>
      </c>
      <c r="G25" s="51">
        <v>0</v>
      </c>
      <c r="H25" s="51"/>
      <c r="I25" s="51"/>
      <c r="J25" s="136">
        <v>1.21</v>
      </c>
    </row>
    <row r="26" spans="1:10" x14ac:dyDescent="0.15">
      <c r="A26" s="55" t="s">
        <v>62</v>
      </c>
      <c r="B26" s="51">
        <v>1302</v>
      </c>
      <c r="C26" s="51">
        <v>1302</v>
      </c>
      <c r="D26" s="51">
        <v>1260</v>
      </c>
      <c r="E26" s="51">
        <v>1302</v>
      </c>
      <c r="F26" s="51">
        <v>1260</v>
      </c>
      <c r="G26" s="51">
        <v>1302</v>
      </c>
      <c r="H26" s="51"/>
      <c r="I26" s="51"/>
      <c r="J26" s="136">
        <v>23.1</v>
      </c>
    </row>
    <row r="27" spans="1:10" x14ac:dyDescent="0.15">
      <c r="A27" s="55" t="s">
        <v>63</v>
      </c>
      <c r="B27" s="51">
        <v>1488.48</v>
      </c>
      <c r="C27" s="51">
        <v>1209.3900000000001</v>
      </c>
      <c r="D27" s="51">
        <v>124.04</v>
      </c>
      <c r="E27" s="51">
        <v>248.08</v>
      </c>
      <c r="F27" s="51">
        <v>248.08</v>
      </c>
      <c r="G27" s="51">
        <v>0</v>
      </c>
      <c r="H27" s="51"/>
      <c r="I27" s="51"/>
      <c r="J27" s="136">
        <v>31.01</v>
      </c>
    </row>
    <row r="28" spans="1:10" x14ac:dyDescent="0.15">
      <c r="A28" s="55" t="s">
        <v>64</v>
      </c>
      <c r="B28" s="51">
        <v>0</v>
      </c>
      <c r="C28" s="51">
        <v>0</v>
      </c>
      <c r="D28" s="51">
        <v>0</v>
      </c>
      <c r="E28" s="51">
        <v>0</v>
      </c>
      <c r="F28" s="51">
        <v>0</v>
      </c>
      <c r="G28" s="51">
        <v>0</v>
      </c>
      <c r="H28" s="51"/>
      <c r="I28" s="51"/>
      <c r="J28" s="136">
        <v>0</v>
      </c>
    </row>
    <row r="29" spans="1:10" x14ac:dyDescent="0.15">
      <c r="A29" s="50" t="s">
        <v>66</v>
      </c>
      <c r="B29" s="51"/>
      <c r="C29" s="51"/>
      <c r="D29" s="51"/>
      <c r="E29" s="51"/>
      <c r="F29" s="51"/>
      <c r="G29" s="51"/>
      <c r="H29" s="51"/>
      <c r="I29" s="51"/>
      <c r="J29" s="134">
        <v>125</v>
      </c>
    </row>
    <row r="31" spans="1:10" x14ac:dyDescent="0.15">
      <c r="A31" s="45" t="s">
        <v>131</v>
      </c>
      <c r="B31" s="73"/>
      <c r="C31" s="73"/>
      <c r="D31" s="73"/>
      <c r="E31" s="73"/>
      <c r="F31" s="73"/>
      <c r="G31" s="73"/>
      <c r="H31" s="73"/>
      <c r="I31" s="73"/>
    </row>
    <row r="32" spans="1:10" x14ac:dyDescent="0.15">
      <c r="J32" s="133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"/>
  <sheetViews>
    <sheetView workbookViewId="0"/>
  </sheetViews>
  <sheetFormatPr baseColWidth="10" defaultColWidth="8.83203125" defaultRowHeight="15" x14ac:dyDescent="0.2"/>
  <cols>
    <col min="1" max="1" width="19.5" customWidth="1"/>
    <col min="2" max="3" width="12" bestFit="1" customWidth="1"/>
    <col min="4" max="4" width="11.33203125" bestFit="1" customWidth="1"/>
    <col min="5" max="5" width="8" bestFit="1" customWidth="1"/>
    <col min="6" max="6" width="13.5" bestFit="1" customWidth="1"/>
    <col min="7" max="7" width="8.1640625" bestFit="1" customWidth="1"/>
    <col min="8" max="8" width="12" bestFit="1" customWidth="1"/>
    <col min="9" max="9" width="10.5" bestFit="1" customWidth="1"/>
    <col min="10" max="10" width="0.6640625" customWidth="1"/>
    <col min="11" max="11" width="12" bestFit="1" customWidth="1"/>
    <col min="12" max="12" width="8.1640625" bestFit="1" customWidth="1"/>
  </cols>
  <sheetData>
    <row r="1" spans="1:12" x14ac:dyDescent="0.2">
      <c r="A1" s="115" t="s">
        <v>134</v>
      </c>
    </row>
    <row r="2" spans="1:12" s="4" customFormat="1" ht="14" x14ac:dyDescent="0.15">
      <c r="A2" s="154" t="s">
        <v>14</v>
      </c>
      <c r="B2" s="154"/>
      <c r="C2" s="154"/>
      <c r="D2" s="154"/>
      <c r="E2" s="154"/>
      <c r="F2" s="154"/>
      <c r="G2" s="154"/>
      <c r="H2" s="1"/>
      <c r="I2" s="2"/>
      <c r="J2" s="3"/>
      <c r="K2" s="3"/>
    </row>
    <row r="3" spans="1:12" s="4" customFormat="1" ht="12" thickBot="1" x14ac:dyDescent="0.2">
      <c r="A3" s="3"/>
      <c r="B3" s="3"/>
      <c r="C3" s="3"/>
      <c r="D3" s="3"/>
      <c r="E3" s="3"/>
      <c r="F3" s="3"/>
      <c r="G3" s="5"/>
      <c r="H3" s="6"/>
      <c r="I3" s="3"/>
      <c r="J3" s="3"/>
      <c r="K3" s="3"/>
    </row>
    <row r="4" spans="1:12" s="13" customFormat="1" ht="26.25" customHeight="1" thickBot="1" x14ac:dyDescent="0.2">
      <c r="A4" s="7"/>
      <c r="B4" s="8" t="s">
        <v>0</v>
      </c>
      <c r="C4" s="8" t="s">
        <v>1</v>
      </c>
      <c r="D4" s="8" t="s">
        <v>2</v>
      </c>
      <c r="E4" s="8" t="s">
        <v>3</v>
      </c>
      <c r="F4" s="9" t="s">
        <v>4</v>
      </c>
      <c r="G4" s="9" t="s">
        <v>5</v>
      </c>
      <c r="H4" s="9" t="s">
        <v>6</v>
      </c>
      <c r="I4" s="8" t="s">
        <v>7</v>
      </c>
      <c r="J4" s="10"/>
      <c r="K4" s="11" t="s">
        <v>8</v>
      </c>
      <c r="L4" s="12" t="s">
        <v>5</v>
      </c>
    </row>
    <row r="5" spans="1:12" s="4" customFormat="1" ht="12" thickBot="1" x14ac:dyDescent="0.2">
      <c r="A5" s="14" t="s">
        <v>9</v>
      </c>
      <c r="B5" s="15"/>
      <c r="C5" s="15"/>
      <c r="D5" s="16"/>
      <c r="E5" s="15"/>
      <c r="F5" s="17"/>
      <c r="G5" s="18"/>
      <c r="H5" s="19"/>
      <c r="I5" s="20"/>
      <c r="J5" s="21"/>
      <c r="K5" s="22"/>
      <c r="L5" s="23"/>
    </row>
    <row r="6" spans="1:12" s="4" customFormat="1" ht="12" thickBot="1" x14ac:dyDescent="0.2">
      <c r="A6" s="24" t="s">
        <v>10</v>
      </c>
      <c r="B6" s="25">
        <v>-3789.84</v>
      </c>
      <c r="C6" s="25">
        <v>0</v>
      </c>
      <c r="D6" s="26">
        <v>0</v>
      </c>
      <c r="E6" s="25">
        <v>0</v>
      </c>
      <c r="F6" s="27">
        <v>0</v>
      </c>
      <c r="G6" s="28"/>
      <c r="H6" s="29">
        <v>0</v>
      </c>
      <c r="I6" s="30">
        <f t="shared" ref="I6:I8" si="0">C6-H6</f>
        <v>0</v>
      </c>
      <c r="J6" s="31"/>
      <c r="K6" s="32">
        <v>0</v>
      </c>
      <c r="L6" s="33"/>
    </row>
    <row r="7" spans="1:12" s="4" customFormat="1" ht="12" thickBot="1" x14ac:dyDescent="0.2">
      <c r="A7" s="24" t="s">
        <v>11</v>
      </c>
      <c r="B7" s="25">
        <v>-91753.21</v>
      </c>
      <c r="C7" s="25">
        <v>-46000</v>
      </c>
      <c r="D7" s="26">
        <f>-33116.23+-893.81</f>
        <v>-34010.04</v>
      </c>
      <c r="E7" s="25">
        <v>0</v>
      </c>
      <c r="F7" s="27">
        <v>-38798.94</v>
      </c>
      <c r="G7" s="28"/>
      <c r="H7" s="29">
        <v>-46000</v>
      </c>
      <c r="I7" s="30">
        <f t="shared" si="0"/>
        <v>0</v>
      </c>
      <c r="J7" s="31"/>
      <c r="K7" s="32">
        <v>-40000</v>
      </c>
      <c r="L7" s="33"/>
    </row>
    <row r="8" spans="1:12" s="4" customFormat="1" ht="23" thickBot="1" x14ac:dyDescent="0.2">
      <c r="A8" s="24" t="s">
        <v>12</v>
      </c>
      <c r="B8" s="25">
        <v>-1799237.14</v>
      </c>
      <c r="C8" s="25">
        <v>-1971119</v>
      </c>
      <c r="D8" s="26">
        <f>-747865.66+-143116.78</f>
        <v>-890982.44000000006</v>
      </c>
      <c r="E8" s="25">
        <v>0</v>
      </c>
      <c r="F8" s="27">
        <v>-1711912.24</v>
      </c>
      <c r="G8" s="28"/>
      <c r="H8" s="29">
        <f>-1852304.9+46000</f>
        <v>-1806304.9</v>
      </c>
      <c r="I8" s="30">
        <f t="shared" si="0"/>
        <v>-164814.10000000009</v>
      </c>
      <c r="J8" s="31"/>
      <c r="K8" s="32">
        <f>-1807220+40000</f>
        <v>-1767220</v>
      </c>
      <c r="L8" s="33"/>
    </row>
    <row r="9" spans="1:12" s="4" customFormat="1" ht="12" thickBot="1" x14ac:dyDescent="0.2">
      <c r="A9" s="34" t="s">
        <v>13</v>
      </c>
      <c r="B9" s="35">
        <v>-2037814.44</v>
      </c>
      <c r="C9" s="35">
        <f>SUM(C6:C8)</f>
        <v>-2017119</v>
      </c>
      <c r="D9" s="36">
        <f>SUM(D6:D8)</f>
        <v>-924992.4800000001</v>
      </c>
      <c r="E9" s="35">
        <v>0</v>
      </c>
      <c r="F9" s="37">
        <v>-1701516.18</v>
      </c>
      <c r="G9" s="38"/>
      <c r="H9" s="39">
        <f>SUM(H6:H8)</f>
        <v>-1852304.9</v>
      </c>
      <c r="I9" s="40">
        <f>C9-H9</f>
        <v>-164814.10000000009</v>
      </c>
      <c r="J9" s="41"/>
      <c r="K9" s="42">
        <f>SUM(K6:K8)</f>
        <v>-1807220</v>
      </c>
      <c r="L9" s="43"/>
    </row>
  </sheetData>
  <mergeCells count="1">
    <mergeCell ref="A2:G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8"/>
  <sheetViews>
    <sheetView workbookViewId="0"/>
  </sheetViews>
  <sheetFormatPr baseColWidth="10" defaultColWidth="8.83203125" defaultRowHeight="15" x14ac:dyDescent="0.2"/>
  <cols>
    <col min="1" max="1" width="52" customWidth="1"/>
    <col min="2" max="2" width="18.5" style="128" customWidth="1"/>
    <col min="3" max="3" width="31.33203125" customWidth="1"/>
  </cols>
  <sheetData>
    <row r="1" spans="1:3" s="116" customFormat="1" ht="21" x14ac:dyDescent="0.25">
      <c r="A1" s="117" t="s">
        <v>129</v>
      </c>
      <c r="B1" s="117" t="s">
        <v>122</v>
      </c>
      <c r="C1" s="117" t="s">
        <v>130</v>
      </c>
    </row>
    <row r="2" spans="1:3" ht="16" x14ac:dyDescent="0.2">
      <c r="A2" s="118" t="s">
        <v>89</v>
      </c>
      <c r="B2" s="124" t="s">
        <v>90</v>
      </c>
      <c r="C2" s="119" t="s">
        <v>91</v>
      </c>
    </row>
    <row r="3" spans="1:3" ht="16" x14ac:dyDescent="0.2">
      <c r="A3" s="118" t="s">
        <v>92</v>
      </c>
      <c r="B3" s="124" t="s">
        <v>93</v>
      </c>
      <c r="C3" s="119" t="s">
        <v>91</v>
      </c>
    </row>
    <row r="4" spans="1:3" ht="16" x14ac:dyDescent="0.2">
      <c r="A4" s="118" t="s">
        <v>94</v>
      </c>
      <c r="B4" s="125">
        <v>0</v>
      </c>
      <c r="C4" s="119" t="s">
        <v>91</v>
      </c>
    </row>
    <row r="5" spans="1:3" ht="16" x14ac:dyDescent="0.2">
      <c r="A5" s="118" t="s">
        <v>95</v>
      </c>
      <c r="B5" s="124" t="s">
        <v>96</v>
      </c>
      <c r="C5" s="119" t="s">
        <v>91</v>
      </c>
    </row>
    <row r="6" spans="1:3" ht="16" x14ac:dyDescent="0.2">
      <c r="A6" s="118" t="s">
        <v>97</v>
      </c>
      <c r="B6" s="125">
        <v>0</v>
      </c>
      <c r="C6" s="119" t="s">
        <v>91</v>
      </c>
    </row>
    <row r="7" spans="1:3" ht="16" x14ac:dyDescent="0.2">
      <c r="A7" s="118" t="s">
        <v>98</v>
      </c>
      <c r="B7" s="124" t="s">
        <v>99</v>
      </c>
      <c r="C7" s="119" t="s">
        <v>91</v>
      </c>
    </row>
    <row r="8" spans="1:3" ht="16" x14ac:dyDescent="0.2">
      <c r="A8" s="118" t="s">
        <v>100</v>
      </c>
      <c r="B8" s="125">
        <v>0</v>
      </c>
      <c r="C8" s="119" t="s">
        <v>91</v>
      </c>
    </row>
    <row r="9" spans="1:3" ht="16" x14ac:dyDescent="0.2">
      <c r="A9" s="118" t="s">
        <v>101</v>
      </c>
      <c r="B9" s="125">
        <v>0</v>
      </c>
      <c r="C9" s="119" t="s">
        <v>91</v>
      </c>
    </row>
    <row r="10" spans="1:3" ht="16" x14ac:dyDescent="0.2">
      <c r="A10" s="118" t="s">
        <v>102</v>
      </c>
      <c r="B10" s="124" t="s">
        <v>93</v>
      </c>
      <c r="C10" s="119" t="s">
        <v>91</v>
      </c>
    </row>
    <row r="11" spans="1:3" ht="16" x14ac:dyDescent="0.2">
      <c r="A11" s="118" t="s">
        <v>103</v>
      </c>
      <c r="B11" s="124" t="s">
        <v>104</v>
      </c>
      <c r="C11" s="119" t="s">
        <v>91</v>
      </c>
    </row>
    <row r="12" spans="1:3" ht="16" x14ac:dyDescent="0.2">
      <c r="A12" s="118" t="s">
        <v>105</v>
      </c>
      <c r="B12" s="124" t="s">
        <v>99</v>
      </c>
      <c r="C12" s="119" t="s">
        <v>91</v>
      </c>
    </row>
    <row r="13" spans="1:3" ht="16" x14ac:dyDescent="0.2">
      <c r="A13" s="118" t="s">
        <v>106</v>
      </c>
      <c r="B13" s="125">
        <v>0</v>
      </c>
      <c r="C13" s="119" t="s">
        <v>91</v>
      </c>
    </row>
    <row r="14" spans="1:3" ht="16" x14ac:dyDescent="0.2">
      <c r="A14" s="118" t="s">
        <v>107</v>
      </c>
      <c r="B14" s="124" t="s">
        <v>99</v>
      </c>
      <c r="C14" s="119" t="s">
        <v>91</v>
      </c>
    </row>
    <row r="15" spans="1:3" ht="32" x14ac:dyDescent="0.2">
      <c r="A15" s="118" t="s">
        <v>108</v>
      </c>
      <c r="B15" s="124" t="s">
        <v>109</v>
      </c>
      <c r="C15" s="118" t="s">
        <v>110</v>
      </c>
    </row>
    <row r="16" spans="1:3" ht="32" x14ac:dyDescent="0.2">
      <c r="A16" s="118" t="s">
        <v>111</v>
      </c>
      <c r="B16" s="124" t="s">
        <v>112</v>
      </c>
      <c r="C16" s="118" t="s">
        <v>110</v>
      </c>
    </row>
    <row r="17" spans="1:3" ht="32" x14ac:dyDescent="0.2">
      <c r="A17" s="118" t="s">
        <v>113</v>
      </c>
      <c r="B17" s="124" t="s">
        <v>114</v>
      </c>
      <c r="C17" s="118" t="s">
        <v>110</v>
      </c>
    </row>
    <row r="18" spans="1:3" ht="32" x14ac:dyDescent="0.2">
      <c r="A18" s="118" t="s">
        <v>115</v>
      </c>
      <c r="B18" s="124" t="s">
        <v>116</v>
      </c>
      <c r="C18" s="118" t="s">
        <v>110</v>
      </c>
    </row>
    <row r="19" spans="1:3" ht="32" x14ac:dyDescent="0.2">
      <c r="A19" s="118" t="s">
        <v>117</v>
      </c>
      <c r="B19" s="124" t="s">
        <v>114</v>
      </c>
      <c r="C19" s="118" t="s">
        <v>110</v>
      </c>
    </row>
    <row r="20" spans="1:3" ht="32" x14ac:dyDescent="0.2">
      <c r="A20" s="118" t="s">
        <v>118</v>
      </c>
      <c r="B20" s="124" t="s">
        <v>119</v>
      </c>
      <c r="C20" s="118" t="s">
        <v>110</v>
      </c>
    </row>
    <row r="21" spans="1:3" ht="32" x14ac:dyDescent="0.2">
      <c r="A21" s="118" t="s">
        <v>120</v>
      </c>
      <c r="B21" s="124" t="s">
        <v>114</v>
      </c>
      <c r="C21" s="118" t="s">
        <v>110</v>
      </c>
    </row>
    <row r="22" spans="1:3" ht="16" x14ac:dyDescent="0.2">
      <c r="A22" s="120"/>
      <c r="B22" s="126"/>
      <c r="C22" s="121"/>
    </row>
    <row r="23" spans="1:3" ht="16" x14ac:dyDescent="0.2">
      <c r="A23" s="122" t="s">
        <v>121</v>
      </c>
      <c r="B23" s="127" t="s">
        <v>122</v>
      </c>
      <c r="C23" s="122" t="s">
        <v>123</v>
      </c>
    </row>
    <row r="24" spans="1:3" ht="16" x14ac:dyDescent="0.2">
      <c r="A24" s="118" t="s">
        <v>124</v>
      </c>
      <c r="B24" s="124" t="s">
        <v>125</v>
      </c>
      <c r="C24" s="123"/>
    </row>
    <row r="25" spans="1:3" ht="16" x14ac:dyDescent="0.2">
      <c r="A25" s="118" t="s">
        <v>126</v>
      </c>
      <c r="B25" s="124" t="s">
        <v>127</v>
      </c>
      <c r="C25" s="123"/>
    </row>
    <row r="26" spans="1:3" ht="16" x14ac:dyDescent="0.2">
      <c r="A26" s="118" t="s">
        <v>128</v>
      </c>
      <c r="B26" s="125">
        <v>45</v>
      </c>
      <c r="C26" s="123"/>
    </row>
    <row r="27" spans="1:3" x14ac:dyDescent="0.2">
      <c r="A27" s="114" t="s">
        <v>216</v>
      </c>
    </row>
    <row r="28" spans="1:3" x14ac:dyDescent="0.2">
      <c r="A28" s="113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2"/>
  <sheetViews>
    <sheetView workbookViewId="0"/>
  </sheetViews>
  <sheetFormatPr baseColWidth="10" defaultColWidth="8.83203125" defaultRowHeight="15" x14ac:dyDescent="0.2"/>
  <cols>
    <col min="1" max="1" width="38" bestFit="1" customWidth="1"/>
    <col min="2" max="2" width="23.33203125" style="128" customWidth="1"/>
  </cols>
  <sheetData>
    <row r="1" spans="1:2" ht="21" x14ac:dyDescent="0.25">
      <c r="A1" s="117" t="s">
        <v>129</v>
      </c>
      <c r="B1" s="142" t="s">
        <v>122</v>
      </c>
    </row>
    <row r="2" spans="1:2" ht="16" x14ac:dyDescent="0.2">
      <c r="A2" s="137" t="s">
        <v>135</v>
      </c>
      <c r="B2" s="143" t="s">
        <v>136</v>
      </c>
    </row>
    <row r="3" spans="1:2" ht="16" x14ac:dyDescent="0.2">
      <c r="A3" s="137" t="s">
        <v>137</v>
      </c>
      <c r="B3" s="143" t="s">
        <v>136</v>
      </c>
    </row>
    <row r="4" spans="1:2" ht="16" x14ac:dyDescent="0.2">
      <c r="A4" s="137" t="s">
        <v>138</v>
      </c>
      <c r="B4" s="143" t="s">
        <v>136</v>
      </c>
    </row>
    <row r="5" spans="1:2" ht="16" x14ac:dyDescent="0.2">
      <c r="A5" s="137" t="s">
        <v>139</v>
      </c>
      <c r="B5" s="143" t="s">
        <v>140</v>
      </c>
    </row>
    <row r="6" spans="1:2" ht="48" x14ac:dyDescent="0.2">
      <c r="A6" s="137" t="s">
        <v>141</v>
      </c>
      <c r="B6" s="143" t="s">
        <v>142</v>
      </c>
    </row>
    <row r="7" spans="1:2" ht="32" x14ac:dyDescent="0.2">
      <c r="A7" s="137" t="s">
        <v>143</v>
      </c>
      <c r="B7" s="143" t="s">
        <v>144</v>
      </c>
    </row>
    <row r="8" spans="1:2" ht="16" x14ac:dyDescent="0.2">
      <c r="A8" s="137" t="s">
        <v>145</v>
      </c>
      <c r="B8" s="143" t="s">
        <v>146</v>
      </c>
    </row>
    <row r="9" spans="1:2" ht="16" x14ac:dyDescent="0.2">
      <c r="A9" s="137" t="s">
        <v>147</v>
      </c>
      <c r="B9" s="143" t="s">
        <v>148</v>
      </c>
    </row>
    <row r="10" spans="1:2" ht="16" x14ac:dyDescent="0.2">
      <c r="A10" s="138"/>
      <c r="B10" s="144"/>
    </row>
    <row r="11" spans="1:2" ht="16" x14ac:dyDescent="0.2">
      <c r="A11" s="139" t="s">
        <v>149</v>
      </c>
      <c r="B11" s="145" t="s">
        <v>122</v>
      </c>
    </row>
    <row r="12" spans="1:2" ht="16" x14ac:dyDescent="0.2">
      <c r="A12" s="137" t="s">
        <v>150</v>
      </c>
      <c r="B12" s="143" t="s">
        <v>151</v>
      </c>
    </row>
    <row r="13" spans="1:2" ht="16" x14ac:dyDescent="0.2">
      <c r="A13" s="137" t="s">
        <v>152</v>
      </c>
      <c r="B13" s="143" t="s">
        <v>153</v>
      </c>
    </row>
    <row r="14" spans="1:2" ht="16" x14ac:dyDescent="0.2">
      <c r="A14" s="138"/>
      <c r="B14" s="144"/>
    </row>
    <row r="15" spans="1:2" ht="16" x14ac:dyDescent="0.2">
      <c r="A15" s="139" t="s">
        <v>154</v>
      </c>
      <c r="B15" s="145" t="s">
        <v>122</v>
      </c>
    </row>
    <row r="16" spans="1:2" ht="32" x14ac:dyDescent="0.2">
      <c r="A16" s="137" t="s">
        <v>155</v>
      </c>
      <c r="B16" s="143" t="s">
        <v>156</v>
      </c>
    </row>
    <row r="17" spans="1:2" ht="32" x14ac:dyDescent="0.2">
      <c r="A17" s="137" t="s">
        <v>157</v>
      </c>
      <c r="B17" s="143" t="s">
        <v>158</v>
      </c>
    </row>
    <row r="18" spans="1:2" ht="32" x14ac:dyDescent="0.2">
      <c r="A18" s="137" t="s">
        <v>159</v>
      </c>
      <c r="B18" s="143" t="s">
        <v>160</v>
      </c>
    </row>
    <row r="19" spans="1:2" ht="48" x14ac:dyDescent="0.2">
      <c r="A19" s="137" t="s">
        <v>141</v>
      </c>
      <c r="B19" s="143" t="s">
        <v>142</v>
      </c>
    </row>
    <row r="20" spans="1:2" ht="32" x14ac:dyDescent="0.2">
      <c r="A20" s="137" t="s">
        <v>143</v>
      </c>
      <c r="B20" s="143" t="s">
        <v>144</v>
      </c>
    </row>
    <row r="21" spans="1:2" ht="16" x14ac:dyDescent="0.2">
      <c r="A21" s="137" t="s">
        <v>145</v>
      </c>
      <c r="B21" s="143" t="s">
        <v>146</v>
      </c>
    </row>
    <row r="22" spans="1:2" ht="16" x14ac:dyDescent="0.2">
      <c r="A22" s="137" t="s">
        <v>147</v>
      </c>
      <c r="B22" s="143" t="s">
        <v>148</v>
      </c>
    </row>
    <row r="23" spans="1:2" ht="16" x14ac:dyDescent="0.2">
      <c r="A23" s="138"/>
      <c r="B23" s="144"/>
    </row>
    <row r="24" spans="1:2" ht="16" x14ac:dyDescent="0.2">
      <c r="A24" s="139" t="s">
        <v>161</v>
      </c>
      <c r="B24" s="145" t="s">
        <v>122</v>
      </c>
    </row>
    <row r="25" spans="1:2" ht="16" x14ac:dyDescent="0.2">
      <c r="A25" s="137" t="s">
        <v>162</v>
      </c>
      <c r="B25" s="143" t="s">
        <v>163</v>
      </c>
    </row>
    <row r="26" spans="1:2" ht="16" x14ac:dyDescent="0.2">
      <c r="A26" s="137" t="s">
        <v>164</v>
      </c>
      <c r="B26" s="143" t="s">
        <v>163</v>
      </c>
    </row>
    <row r="27" spans="1:2" ht="16" x14ac:dyDescent="0.2">
      <c r="A27" s="137" t="s">
        <v>165</v>
      </c>
      <c r="B27" s="143" t="s">
        <v>163</v>
      </c>
    </row>
    <row r="28" spans="1:2" ht="16" x14ac:dyDescent="0.2">
      <c r="A28" s="137" t="s">
        <v>166</v>
      </c>
      <c r="B28" s="143" t="s">
        <v>163</v>
      </c>
    </row>
    <row r="29" spans="1:2" ht="16" x14ac:dyDescent="0.2">
      <c r="A29" s="137" t="s">
        <v>167</v>
      </c>
      <c r="B29" s="143" t="s">
        <v>168</v>
      </c>
    </row>
    <row r="30" spans="1:2" ht="16" x14ac:dyDescent="0.2">
      <c r="A30" s="137" t="s">
        <v>169</v>
      </c>
      <c r="B30" s="143" t="s">
        <v>170</v>
      </c>
    </row>
    <row r="31" spans="1:2" ht="16" x14ac:dyDescent="0.2">
      <c r="A31" s="137" t="s">
        <v>171</v>
      </c>
      <c r="B31" s="143" t="s">
        <v>172</v>
      </c>
    </row>
    <row r="32" spans="1:2" ht="16" x14ac:dyDescent="0.2">
      <c r="A32" s="137" t="s">
        <v>173</v>
      </c>
      <c r="B32" s="143" t="s">
        <v>174</v>
      </c>
    </row>
    <row r="33" spans="1:2" ht="16" x14ac:dyDescent="0.2">
      <c r="A33" s="137" t="s">
        <v>175</v>
      </c>
      <c r="B33" s="143" t="s">
        <v>176</v>
      </c>
    </row>
    <row r="34" spans="1:2" ht="16" x14ac:dyDescent="0.2">
      <c r="A34" s="137" t="s">
        <v>177</v>
      </c>
      <c r="B34" s="143" t="s">
        <v>176</v>
      </c>
    </row>
    <row r="35" spans="1:2" ht="16" x14ac:dyDescent="0.2">
      <c r="A35" s="137" t="s">
        <v>178</v>
      </c>
      <c r="B35" s="146">
        <v>100</v>
      </c>
    </row>
    <row r="36" spans="1:2" ht="16" x14ac:dyDescent="0.2">
      <c r="A36" s="137" t="s">
        <v>150</v>
      </c>
      <c r="B36" s="143" t="s">
        <v>151</v>
      </c>
    </row>
    <row r="37" spans="1:2" ht="16" x14ac:dyDescent="0.2">
      <c r="A37" s="137" t="s">
        <v>152</v>
      </c>
      <c r="B37" s="143" t="s">
        <v>153</v>
      </c>
    </row>
    <row r="38" spans="1:2" ht="16" x14ac:dyDescent="0.2">
      <c r="A38" s="137" t="s">
        <v>179</v>
      </c>
      <c r="B38" s="143" t="s">
        <v>176</v>
      </c>
    </row>
    <row r="39" spans="1:2" ht="16" x14ac:dyDescent="0.2">
      <c r="A39" s="137" t="s">
        <v>180</v>
      </c>
      <c r="B39" s="143" t="s">
        <v>176</v>
      </c>
    </row>
    <row r="40" spans="1:2" ht="48" x14ac:dyDescent="0.2">
      <c r="A40" s="137" t="s">
        <v>141</v>
      </c>
      <c r="B40" s="143" t="s">
        <v>142</v>
      </c>
    </row>
    <row r="41" spans="1:2" ht="32" x14ac:dyDescent="0.2">
      <c r="A41" s="137" t="s">
        <v>143</v>
      </c>
      <c r="B41" s="143" t="s">
        <v>144</v>
      </c>
    </row>
    <row r="42" spans="1:2" ht="16" x14ac:dyDescent="0.2">
      <c r="A42" s="137" t="s">
        <v>145</v>
      </c>
      <c r="B42" s="143" t="s">
        <v>146</v>
      </c>
    </row>
    <row r="43" spans="1:2" ht="16" x14ac:dyDescent="0.2">
      <c r="A43" s="137" t="s">
        <v>147</v>
      </c>
      <c r="B43" s="143" t="s">
        <v>148</v>
      </c>
    </row>
    <row r="44" spans="1:2" ht="16" x14ac:dyDescent="0.2">
      <c r="A44" s="138"/>
      <c r="B44" s="144"/>
    </row>
    <row r="45" spans="1:2" ht="16" x14ac:dyDescent="0.2">
      <c r="A45" s="139" t="s">
        <v>181</v>
      </c>
      <c r="B45" s="145" t="s">
        <v>122</v>
      </c>
    </row>
    <row r="46" spans="1:2" ht="16" x14ac:dyDescent="0.2">
      <c r="A46" s="137" t="s">
        <v>162</v>
      </c>
      <c r="B46" s="143" t="s">
        <v>163</v>
      </c>
    </row>
    <row r="47" spans="1:2" ht="16" x14ac:dyDescent="0.2">
      <c r="A47" s="137" t="s">
        <v>164</v>
      </c>
      <c r="B47" s="143" t="s">
        <v>163</v>
      </c>
    </row>
    <row r="48" spans="1:2" ht="16" x14ac:dyDescent="0.2">
      <c r="A48" s="137" t="s">
        <v>165</v>
      </c>
      <c r="B48" s="143" t="s">
        <v>163</v>
      </c>
    </row>
    <row r="49" spans="1:2" ht="16" x14ac:dyDescent="0.2">
      <c r="A49" s="137" t="s">
        <v>166</v>
      </c>
      <c r="B49" s="143" t="s">
        <v>163</v>
      </c>
    </row>
    <row r="50" spans="1:2" ht="32" x14ac:dyDescent="0.2">
      <c r="A50" s="137" t="s">
        <v>182</v>
      </c>
      <c r="B50" s="143" t="s">
        <v>183</v>
      </c>
    </row>
    <row r="51" spans="1:2" ht="32" x14ac:dyDescent="0.2">
      <c r="A51" s="137" t="s">
        <v>184</v>
      </c>
      <c r="B51" s="143" t="s">
        <v>185</v>
      </c>
    </row>
    <row r="52" spans="1:2" ht="32" x14ac:dyDescent="0.2">
      <c r="A52" s="137" t="s">
        <v>186</v>
      </c>
      <c r="B52" s="146">
        <v>450</v>
      </c>
    </row>
    <row r="53" spans="1:2" ht="16" x14ac:dyDescent="0.2">
      <c r="A53" s="137" t="s">
        <v>187</v>
      </c>
      <c r="B53" s="143" t="s">
        <v>188</v>
      </c>
    </row>
    <row r="54" spans="1:2" ht="16" x14ac:dyDescent="0.2">
      <c r="A54" s="137" t="s">
        <v>189</v>
      </c>
      <c r="B54" s="143" t="s">
        <v>190</v>
      </c>
    </row>
    <row r="55" spans="1:2" ht="16" x14ac:dyDescent="0.2">
      <c r="A55" s="137" t="s">
        <v>191</v>
      </c>
      <c r="B55" s="143" t="s">
        <v>192</v>
      </c>
    </row>
    <row r="56" spans="1:2" ht="16" x14ac:dyDescent="0.2">
      <c r="A56" s="137" t="s">
        <v>193</v>
      </c>
      <c r="B56" s="143" t="s">
        <v>194</v>
      </c>
    </row>
    <row r="57" spans="1:2" ht="16" x14ac:dyDescent="0.2">
      <c r="A57" s="137" t="s">
        <v>195</v>
      </c>
      <c r="B57" s="143" t="s">
        <v>196</v>
      </c>
    </row>
    <row r="58" spans="1:2" ht="16" x14ac:dyDescent="0.2">
      <c r="A58" s="137" t="s">
        <v>197</v>
      </c>
      <c r="B58" s="143" t="s">
        <v>198</v>
      </c>
    </row>
    <row r="59" spans="1:2" ht="16" x14ac:dyDescent="0.2">
      <c r="A59" s="137" t="s">
        <v>199</v>
      </c>
      <c r="B59" s="146">
        <v>350</v>
      </c>
    </row>
    <row r="60" spans="1:2" ht="16" x14ac:dyDescent="0.2">
      <c r="A60" s="137" t="s">
        <v>200</v>
      </c>
      <c r="B60" s="143" t="s">
        <v>185</v>
      </c>
    </row>
    <row r="61" spans="1:2" ht="48" x14ac:dyDescent="0.2">
      <c r="A61" s="137" t="s">
        <v>141</v>
      </c>
      <c r="B61" s="143" t="s">
        <v>142</v>
      </c>
    </row>
    <row r="62" spans="1:2" ht="32" x14ac:dyDescent="0.2">
      <c r="A62" s="137" t="s">
        <v>143</v>
      </c>
      <c r="B62" s="143" t="s">
        <v>144</v>
      </c>
    </row>
    <row r="63" spans="1:2" ht="16" x14ac:dyDescent="0.2">
      <c r="A63" s="137" t="s">
        <v>145</v>
      </c>
      <c r="B63" s="143" t="s">
        <v>146</v>
      </c>
    </row>
    <row r="64" spans="1:2" ht="16" x14ac:dyDescent="0.2">
      <c r="A64" s="137" t="s">
        <v>147</v>
      </c>
      <c r="B64" s="143" t="s">
        <v>148</v>
      </c>
    </row>
    <row r="65" spans="1:2" ht="16" x14ac:dyDescent="0.2">
      <c r="A65" s="138"/>
      <c r="B65" s="144"/>
    </row>
    <row r="66" spans="1:2" ht="16" x14ac:dyDescent="0.2">
      <c r="A66" s="139" t="s">
        <v>201</v>
      </c>
      <c r="B66" s="145" t="s">
        <v>122</v>
      </c>
    </row>
    <row r="67" spans="1:2" ht="48" x14ac:dyDescent="0.2">
      <c r="A67" s="137" t="s">
        <v>141</v>
      </c>
      <c r="B67" s="143" t="s">
        <v>142</v>
      </c>
    </row>
    <row r="68" spans="1:2" ht="32" x14ac:dyDescent="0.2">
      <c r="A68" s="137" t="s">
        <v>143</v>
      </c>
      <c r="B68" s="143" t="s">
        <v>144</v>
      </c>
    </row>
    <row r="69" spans="1:2" ht="16" x14ac:dyDescent="0.2">
      <c r="A69" s="137" t="s">
        <v>145</v>
      </c>
      <c r="B69" s="143" t="s">
        <v>146</v>
      </c>
    </row>
    <row r="70" spans="1:2" ht="16" x14ac:dyDescent="0.2">
      <c r="A70" s="140" t="s">
        <v>147</v>
      </c>
      <c r="B70" s="147" t="s">
        <v>148</v>
      </c>
    </row>
    <row r="71" spans="1:2" x14ac:dyDescent="0.2">
      <c r="A71" s="114" t="s">
        <v>217</v>
      </c>
    </row>
    <row r="72" spans="1:2" x14ac:dyDescent="0.2">
      <c r="A72" s="11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Index</vt:lpstr>
      <vt:lpstr>Fee Schedule Requirements</vt:lpstr>
      <vt:lpstr>Ex 1 Fee Schedule 1  - Calc</vt:lpstr>
      <vt:lpstr>Ex 2 Fee Schedule 1 - Publish</vt:lpstr>
      <vt:lpstr>Ex 3 Revenue Projection</vt:lpstr>
      <vt:lpstr>Ex 4 Flow Fee Sch </vt:lpstr>
      <vt:lpstr>Ex 5 Genomics Fee Sch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Mockus</dc:creator>
  <cp:lastModifiedBy>Microsoft Office User</cp:lastModifiedBy>
  <dcterms:created xsi:type="dcterms:W3CDTF">2016-05-24T19:35:24Z</dcterms:created>
  <dcterms:modified xsi:type="dcterms:W3CDTF">2019-02-08T20:54:57Z</dcterms:modified>
</cp:coreProperties>
</file>